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<sst xmlns="http://schemas.openxmlformats.org/spreadsheetml/2006/main" uniqueCount="14420">
  <si>
    <t>ПРАЙС-ЛИСТ</t>
  </si>
  <si>
    <t>Компания "ОПТОВИК"</t>
  </si>
  <si>
    <t>Наш сайт:</t>
  </si>
  <si>
    <t>Эл. почта для заказов : аrtstarufa@mail.ru</t>
  </si>
  <si>
    <t>Адрес: г. Уфа ул. Бакалинская д.25</t>
  </si>
  <si>
    <t>Телефон: 8(347) 293-45-60; 293-54-44</t>
  </si>
  <si>
    <t xml:space="preserve">Менеджер по продажам: Дубков Максим </t>
  </si>
  <si>
    <t>ICQ: 630-142-828</t>
  </si>
  <si>
    <t>тел. 8-937-35-88-006</t>
  </si>
  <si>
    <t>Менеджер по продажам: Ганцева Диана</t>
  </si>
  <si>
    <t>ICQ: 461-386-270</t>
  </si>
  <si>
    <t>тел. 8-917-732-0659</t>
  </si>
  <si>
    <t>14-05-2024</t>
  </si>
  <si>
    <t>Штрихкод</t>
  </si>
  <si>
    <t>Наименование</t>
  </si>
  <si>
    <t>Статус</t>
  </si>
  <si>
    <t>Ссылка</t>
  </si>
  <si>
    <t>Цена</t>
  </si>
  <si>
    <t>Остаток</t>
  </si>
  <si>
    <t>Заказ</t>
  </si>
  <si>
    <t xml:space="preserve"> Новинки</t>
  </si>
  <si>
    <t>УТ000059451</t>
  </si>
  <si>
    <t>13F-2, 240В AC, 10/15А реле электромагнитное</t>
  </si>
  <si>
    <t>УТ000059452</t>
  </si>
  <si>
    <t>13F-2, 24В DC, 10/15А реле электромагнитное</t>
  </si>
  <si>
    <t>УТ000059442</t>
  </si>
  <si>
    <t>Автоматический выключатель модель 1п  6А CВА 47-29 4,5 кА, IEK</t>
  </si>
  <si>
    <t>УТ000059438</t>
  </si>
  <si>
    <t>Автоматический выключатель модель 2п 40А 4,5 кА х-ка C 230В Systeme Electric City-9 C9F34240</t>
  </si>
  <si>
    <t>УТ000059437</t>
  </si>
  <si>
    <t>Автоматический выключатель модель 2п 63А 4,5 кА х-ка C 230В Systeme Electric City-9 C9F34263</t>
  </si>
  <si>
    <t>УТ000059293</t>
  </si>
  <si>
    <t>Аудио гнездо 3,5 мм стерео, металл, на корпус с гайкой  (трубка) (5)</t>
  </si>
  <si>
    <t>УТ000059292</t>
  </si>
  <si>
    <t>Аудио гнездо 3,5 мм стерео, металл, на корпус с гайкой трубка (5)</t>
  </si>
  <si>
    <t>УТ000057579</t>
  </si>
  <si>
    <t>Аудио кабель AU05 2 x Jack 6.3 (6.5) mm - Jack 3.5 mm 1,5M STYLE</t>
  </si>
  <si>
    <t>УТ000059473</t>
  </si>
  <si>
    <t>Аудио кабель AU08 микрофонный STEREO XLR F 6.3 (6.5) 1,5M DREAM STYLE</t>
  </si>
  <si>
    <t>УТ000050311</t>
  </si>
  <si>
    <t>Аудио кабель AU08 микрофонный STEREO XLR F 6.3 (6.5) 3M DREAM STYLE</t>
  </si>
  <si>
    <t>УТ000058075</t>
  </si>
  <si>
    <t>Беспроводные Bluetooth спортивные наушники на шею с микрофоном ( microSD )KL-18 KIN</t>
  </si>
  <si>
    <t>УТ000051469</t>
  </si>
  <si>
    <t>Блок питания Live-Power  6В,3000мA  (5,5*2,5) Live-Power LP-92</t>
  </si>
  <si>
    <t>УТ000059453</t>
  </si>
  <si>
    <t>Быстрозажимной пружинный зажим - гнездо RCA</t>
  </si>
  <si>
    <t>УТ000059375</t>
  </si>
  <si>
    <t>Встраиваемый (LED) светильник, квадрат 24w/6500K/IP20 DL Smartbuy Square (SBL-DLSq-24-65K)</t>
  </si>
  <si>
    <t>УТ000059443</t>
  </si>
  <si>
    <t>Выключатель авт. диф. тока 4п 63А 30mA тип АС ВД-100 PROxima ЭКФ elcd-4-32-30-em-pro</t>
  </si>
  <si>
    <t>УТ000058653</t>
  </si>
  <si>
    <t>Выключатель двухклавишный О/У, белый, 6А, IP20, Викинг, VA 56-232-Б, Беларусь</t>
  </si>
  <si>
    <t>УТ000058652</t>
  </si>
  <si>
    <t>Выключатель одноклавишный О/У, белый, 6А, IP20, Викинг, VA 16-131-Б, Беларусь</t>
  </si>
  <si>
    <t>УТ000059294</t>
  </si>
  <si>
    <t>Гнездо RCA тюльпан на кабель металл золото (комплект из 2х шт) черный, красный</t>
  </si>
  <si>
    <t>УТ000059477</t>
  </si>
  <si>
    <t>Держатель мобильного телефона CH113</t>
  </si>
  <si>
    <t>УТ000057572</t>
  </si>
  <si>
    <t>Кабель AUX-Type-C KY226 чёрный Dream Style</t>
  </si>
  <si>
    <t>УТ000059396</t>
  </si>
  <si>
    <t>Кабель аудио/Видео HDMI-Micro 1.5м резиновый H134</t>
  </si>
  <si>
    <t>УТ000059307</t>
  </si>
  <si>
    <t>Клемма универсальная многоразовая, проходная 2-проводная, 0,08-4мм2 (SBE-ptcwсс-2)</t>
  </si>
  <si>
    <t>УТ000059454</t>
  </si>
  <si>
    <t>Кнопка PB22E06 6pin 6x6x10мм, без фиксации (10)</t>
  </si>
  <si>
    <t>УТ000059455</t>
  </si>
  <si>
    <t>Кнопка PB22E06 6pin 6x6x10мм, с фиксацией (7)</t>
  </si>
  <si>
    <t>УТ000059456</t>
  </si>
  <si>
    <t>Кнопка PB22E07 6pin 7x7x12мм, без фиксации (10)</t>
  </si>
  <si>
    <t>УТ000059457</t>
  </si>
  <si>
    <t>Кнопка PB22E07 6pin 7x7x12мм, с фиксацией (10)</t>
  </si>
  <si>
    <t>УТ000059458</t>
  </si>
  <si>
    <t>Кнопка PB22E08 6pin 8x8x13мм, без фиксации (10)</t>
  </si>
  <si>
    <t>УТ000059459</t>
  </si>
  <si>
    <t>Кнопка PB22E08 6pin 8x8x13мм, с фиксацией (10)</t>
  </si>
  <si>
    <t>УТ000059460</t>
  </si>
  <si>
    <t>Кнопка PB22E09 6pin 8.5x8.5x14мм, без фиксации (10)</t>
  </si>
  <si>
    <t>УТ000059461</t>
  </si>
  <si>
    <t>Кнопка PB22E09 6pin 8.5x8.5x14мм, с фиксацией (10)</t>
  </si>
  <si>
    <t>УТ000059321</t>
  </si>
  <si>
    <t>Кнопка тактовая DIP 6х6х7.3мм KAN0611-0731W</t>
  </si>
  <si>
    <t>УТ000059225</t>
  </si>
  <si>
    <t>Кронштейн для телевизора 26-55" настенный наклонный черный EP</t>
  </si>
  <si>
    <t>УТ000058357</t>
  </si>
  <si>
    <t>Лента малярная-скотч бумажный 25*8мм</t>
  </si>
  <si>
    <t>УТ000058363</t>
  </si>
  <si>
    <t>Маркер перманентный красный, круглый, "LIT"</t>
  </si>
  <si>
    <t>УТ000059263</t>
  </si>
  <si>
    <t>Маска сварщика Эконом матовая</t>
  </si>
  <si>
    <t>УТ000059302</t>
  </si>
  <si>
    <t>Машинка для стрижки волос ERGOLUX ELX-HC01-C48</t>
  </si>
  <si>
    <t>УТ000059303</t>
  </si>
  <si>
    <t>Машинка для стрижки волос ERGOLUX ELX-HC02-C10</t>
  </si>
  <si>
    <t>УТ000059304</t>
  </si>
  <si>
    <t>Машинка для стрижки волос ERGOLUX ELX-HC03-C42</t>
  </si>
  <si>
    <t>УТ000059269</t>
  </si>
  <si>
    <t>Микрофон петличный беспроводной телефона BLUETOOTH K11 TYPE-C</t>
  </si>
  <si>
    <t>УТ000058047</t>
  </si>
  <si>
    <t>Микрофон петличный беспроводной телефона BLUETOOTH K9 TYPE-C</t>
  </si>
  <si>
    <t>УТ000058048</t>
  </si>
  <si>
    <t>Микрофон петличный беспроводной телефона BLUETOOTH K9 TYPE-C 2 В 1</t>
  </si>
  <si>
    <t>УТ000059378</t>
  </si>
  <si>
    <t>Монтажная площадка для стяжки хомутов 15*10мм для хомутов  шириной до 4мм, белая (SBE-CTb-1-W)</t>
  </si>
  <si>
    <t>УТ000059377</t>
  </si>
  <si>
    <t>Монтажная площадка для стяжки хомутов 15*10мм для хомутов  шириной до 4мм, чёрная (SBE-CTb-1-B)</t>
  </si>
  <si>
    <t>УТ000056802</t>
  </si>
  <si>
    <t>Монтажная площадка для стяжки хомутов 20*10мм для хомутов  шириной до 4мм, белая (SBE-CTb-0-W)</t>
  </si>
  <si>
    <t>УТ000059376</t>
  </si>
  <si>
    <t>Монтажная площадка для стяжки хомутов 20*10мм для хомутов  шириной до 4мм, чёрная (SBE-CTb-0-B)</t>
  </si>
  <si>
    <t>УТ000057661</t>
  </si>
  <si>
    <t>Монтажная площадка для стяжки хомутов 22*16мм для хомутов  шириной до 9мм, белая (SBE-CTb-2-W)</t>
  </si>
  <si>
    <t>УТ000058043</t>
  </si>
  <si>
    <t>Монтажная площадка для стяжки хомутов 22*16мм для хомутов  шириной до 9мм, чёрная (SBE-CTb-2-B)</t>
  </si>
  <si>
    <t>УТ000059379</t>
  </si>
  <si>
    <t>Мышь проводная SmartBuy 288K USB зелёная, с подсветкой беззвучная</t>
  </si>
  <si>
    <t>УТ000059380</t>
  </si>
  <si>
    <t>Мышь проводная SmartBuy 288K USB розовая, с подсветкой беззвучная</t>
  </si>
  <si>
    <t>УТ000059381</t>
  </si>
  <si>
    <t>Мышь проводная SmartBuy 288K USB сиреневая, с подсветкой беззвучная</t>
  </si>
  <si>
    <t>УТ000059295</t>
  </si>
  <si>
    <t>Набор переходников для блоков питания с 5.5x2.1мм "гн" на питание "шт" (34 вида)</t>
  </si>
  <si>
    <t>УТ000059185</t>
  </si>
  <si>
    <t>Набор стусло и ножовка, большой, 300mm, высота зубьев 4мм, шаг 4мм SPARK LUX</t>
  </si>
  <si>
    <t>УТ000059024</t>
  </si>
  <si>
    <t>Наклейка-шрифт для клавиатуры D2 Tech SF-01W, русский шрифт, белый цвет на прозрачном фоне</t>
  </si>
  <si>
    <t>УТ000051491</t>
  </si>
  <si>
    <t>Обезжирыватель универсальный ПЭТ 0,5л, "ДПХИ" ТУ</t>
  </si>
  <si>
    <t>УТ000057040</t>
  </si>
  <si>
    <t>Олифа термополимерная ПЭТ 0,5л, "ДПХИ" ТУ</t>
  </si>
  <si>
    <t>УТ000059290</t>
  </si>
  <si>
    <t>Очиститель (удалитель) наклеек, клея и скотча, тонировочной плёнки AVK-692, AVS 520мл.</t>
  </si>
  <si>
    <t>УТ000057045</t>
  </si>
  <si>
    <t>Пассатижи мини 4,5* оранжево-чёрная ручка</t>
  </si>
  <si>
    <t>УТ000059091</t>
  </si>
  <si>
    <t>Паяльная паста Mechanic XG30 флюс для пайки микросхем 16 гр</t>
  </si>
  <si>
    <t>УТ000059090</t>
  </si>
  <si>
    <t>Переходник H9 AV to HDMI 1080</t>
  </si>
  <si>
    <t>УТ000059271</t>
  </si>
  <si>
    <t>Переходник HDMI-miniHDMI EP</t>
  </si>
  <si>
    <t>УТ000059160</t>
  </si>
  <si>
    <t>Переходник HDMI-VGA-AUX 20см, EP</t>
  </si>
  <si>
    <t>УТ000059476</t>
  </si>
  <si>
    <t>Переходник OTG Type-C штекер — USB гнездо DREAM STYLE Z27</t>
  </si>
  <si>
    <t>УТ000059233</t>
  </si>
  <si>
    <t>Подставка для наушников, без ножек</t>
  </si>
  <si>
    <t>УТ000059232</t>
  </si>
  <si>
    <t>Подставка для наушников, ножки</t>
  </si>
  <si>
    <t>УТ000052143</t>
  </si>
  <si>
    <t>Преобразоваль ржавчины ПЭТ 0,5л,"ДПХИ" ТУ</t>
  </si>
  <si>
    <t>УТ000057994</t>
  </si>
  <si>
    <t>Преобразователь напряжения Dream V12 USB - DC (5,5 на 2,5) 5В-12В 1000mA,</t>
  </si>
  <si>
    <t>УТ000059472</t>
  </si>
  <si>
    <t>Приставка для цифрового ТВ, ресивер DVB-T2 YASIN DVB T8000 (Wi-Fi)</t>
  </si>
  <si>
    <t>УТ000058877</t>
  </si>
  <si>
    <t>Пульт PHILIPS STYLE 2422 549 90301</t>
  </si>
  <si>
    <t>УТ000059168</t>
  </si>
  <si>
    <t>Разветвитель прикуривателя Olesson WF-1605</t>
  </si>
  <si>
    <t>УТ000059157</t>
  </si>
  <si>
    <t>Растворитель 646 ПНД 0,5л, "ДПХИ" ГОСТ</t>
  </si>
  <si>
    <t>УТ000059371</t>
  </si>
  <si>
    <t>Рация Baofeng UV-5R 8Вт 136-174/400-520МГц (VHF/UHF) 128 каналов с гарнитурой</t>
  </si>
  <si>
    <t>УТ000059372</t>
  </si>
  <si>
    <t>Рация Baofeng UV-82  8Вт 136-174/400-520МГц (VHF/UHF) 128 каналов</t>
  </si>
  <si>
    <t>УТ000059373</t>
  </si>
  <si>
    <t>Рация Baofeng UV-82  8Вт 136-174/400-520МГц (VHF/UHF) 128 каналов сгарнитурой</t>
  </si>
  <si>
    <t>УТ000059204</t>
  </si>
  <si>
    <t>Реле твердотельное однофазное 25А 24VDC EKF PROxima RTP-25-DA</t>
  </si>
  <si>
    <t>УТ000059205</t>
  </si>
  <si>
    <t>Реле твердотельное однофазное 40А 24VDC EKF PROxima RTP-40-DA</t>
  </si>
  <si>
    <t>УТ000055638</t>
  </si>
  <si>
    <t>Розетка двухместная О/У, Б/З, IP20, 16A, белый, RA 16-237-Б , Беларусь</t>
  </si>
  <si>
    <t>УТ000059422</t>
  </si>
  <si>
    <t>Розетка двухместная О/У, С/З, IP20, 16A, белый, RA 16-238-Б , Беларусь</t>
  </si>
  <si>
    <t>УТ000058120</t>
  </si>
  <si>
    <t>Розетка одноместная О/У, Б/З, IP20, 16A, белый, Викинг, RA16-131-Б, Беларусь</t>
  </si>
  <si>
    <t>УТ000056722</t>
  </si>
  <si>
    <t>Розетка одноместная О/У, С/З, IP20, 16A, белый, Викинг, RA 16-133-Б , Беларусь</t>
  </si>
  <si>
    <t>УТ000056724</t>
  </si>
  <si>
    <t>Розетка одноместная О/У, С/З, IP44, 16A, белый, Викинг, RA16-211-Б , Беларусь</t>
  </si>
  <si>
    <t>УТ000059423</t>
  </si>
  <si>
    <t>Розетка трёхместная О/У, С/З, IP20, 16A, белый, Викинг, RA 16-343-Б , Беларусь</t>
  </si>
  <si>
    <t>УТ000059428</t>
  </si>
  <si>
    <t>Светильник осн. наклонное, без стекла с патроном,полипропилен, белый НБП 01-06-004 УЗ</t>
  </si>
  <si>
    <t>УТ000059427</t>
  </si>
  <si>
    <t>Светильник осн. прямое, без стекла, полипропилен, белый НБП 01-06-004</t>
  </si>
  <si>
    <t>УТ000059425</t>
  </si>
  <si>
    <t>Светильник осн. прямое, шар-пластик, НБП 01-06-004 УЗ</t>
  </si>
  <si>
    <t>УТ000059426</t>
  </si>
  <si>
    <t>Светильник осн. прямое, шар-стекло, НБП 01-06-004 УЗ</t>
  </si>
  <si>
    <t>УТ000059481</t>
  </si>
  <si>
    <t>Светодиодный USB светильник C6 8 LED COOL ( тёплый свет) DREAM</t>
  </si>
  <si>
    <t>УТ000054342</t>
  </si>
  <si>
    <t>Сетевой фильтр NS3, 1440W, 2xUSB 6A, Type-C 12W DREAM STYLE</t>
  </si>
  <si>
    <t>УТ000053810</t>
  </si>
  <si>
    <t>Сетевой шнур 2pin C7 1,5м</t>
  </si>
  <si>
    <t>УТ000059478</t>
  </si>
  <si>
    <t>СЗУ на PD (2 гнезда Type-C) Dream PD5, 20W скоростная зарядка</t>
  </si>
  <si>
    <t>УТ000059480</t>
  </si>
  <si>
    <t>СЗУ на PD (2 гнезда Type-C) Dream PD6, 50W скоростная зарядка</t>
  </si>
  <si>
    <t>УТ000059169</t>
  </si>
  <si>
    <t>Скотч армированный серый 45х22</t>
  </si>
  <si>
    <t>УТ000059170</t>
  </si>
  <si>
    <t>Скотч армированный серый 45х80</t>
  </si>
  <si>
    <t>УТ000059172</t>
  </si>
  <si>
    <t>Скотч армированный серый 56х22</t>
  </si>
  <si>
    <t>УТ000059173</t>
  </si>
  <si>
    <t>Скотч армированный серый 56х80</t>
  </si>
  <si>
    <t>УТ000059404</t>
  </si>
  <si>
    <t>Смазка проникающая 200мл аэрозоль AB-8 (аналог wd-40) универсальная Abro</t>
  </si>
  <si>
    <t>УТ000059155</t>
  </si>
  <si>
    <t>Сольвент ПЭТ 0,5л, "ДПХИ" ТУ</t>
  </si>
  <si>
    <t>УТ000058512</t>
  </si>
  <si>
    <t>Стойка шестигранная нейлон 10мм гайка-гайка М3 HTP-310</t>
  </si>
  <si>
    <t>УТ000058513</t>
  </si>
  <si>
    <t>Стойка шестигранная нейлон 15мм гайка-гайка М3 HTP-315</t>
  </si>
  <si>
    <t>УТ000058514</t>
  </si>
  <si>
    <t>Стойка шестигранная нейлон 20мм гайка-гайка М3 HTP-320</t>
  </si>
  <si>
    <t>УТ000058515</t>
  </si>
  <si>
    <t>Стойка шестигранная нейлон 25мм гайка-гайка М3 HTP-325</t>
  </si>
  <si>
    <t>УТ000058516</t>
  </si>
  <si>
    <t>Стойка шестигранная нейлон 30мм гайка-гайка М3 HTP-330</t>
  </si>
  <si>
    <t>УТ000058511</t>
  </si>
  <si>
    <t>Стойка шестигранная нейлон 6мм гайка-гайка М3 HTP-306</t>
  </si>
  <si>
    <t>УТ000058518</t>
  </si>
  <si>
    <t>Стойка шестигранная нейлон винт - гайка 10мм М3х5 HTS-310</t>
  </si>
  <si>
    <t>УТ000058519</t>
  </si>
  <si>
    <t>Стойка шестигранная нейлон винт - гайка 20мм М3х6 HTS-320</t>
  </si>
  <si>
    <t>УТ000058520</t>
  </si>
  <si>
    <t>Стойка шестигранная нейлон винт - гайка 30мм М3х6 HTS-330</t>
  </si>
  <si>
    <t>УТ000058517</t>
  </si>
  <si>
    <t>Стойка шестигранная нейлон винт - гайка 6мм М3х6 HTS-306</t>
  </si>
  <si>
    <t>00410053209</t>
  </si>
  <si>
    <t>Супер-клей Момент клей-карандаш, 20гр.</t>
  </si>
  <si>
    <t>УТ000059300</t>
  </si>
  <si>
    <t>Таймер механический GARIN KT-04</t>
  </si>
  <si>
    <t>УТ000059297</t>
  </si>
  <si>
    <t>Таймер электронный GARIN KT-01</t>
  </si>
  <si>
    <t>УТ000059122</t>
  </si>
  <si>
    <t>Термобутылка-фляжка нержавеющая сталь, 600мл, с трубочкой, на ремешке 16405-14</t>
  </si>
  <si>
    <t>УТ000059123</t>
  </si>
  <si>
    <t>Термобутылка-фляжка нержавеющая сталь, 800мл, с трубочкой, на ремешке 16405-15</t>
  </si>
  <si>
    <t>УТ000059142</t>
  </si>
  <si>
    <t>Термометр стрелочный CY69 металлический (до 300 градусов)</t>
  </si>
  <si>
    <t>УТ000059143</t>
  </si>
  <si>
    <t>Термометр стрелочный CY70 металлический (до 320 градусов)</t>
  </si>
  <si>
    <t>УТ000059138</t>
  </si>
  <si>
    <t>Термометр электронный для аквариумов, 0-37°C DC16</t>
  </si>
  <si>
    <t>УТ000059139</t>
  </si>
  <si>
    <t>Термометр электронный для холодильника (-40/+70°C) с сигналом C605</t>
  </si>
  <si>
    <t>УТ000059180</t>
  </si>
  <si>
    <t>Триммер Geemy GM-6639 3в1</t>
  </si>
  <si>
    <t>УТ000057692</t>
  </si>
  <si>
    <t>Уайт-спирит ПЭТ 0,5л, "ДПХИ" ТУ</t>
  </si>
  <si>
    <t>УТ000058382</t>
  </si>
  <si>
    <t>Удалитель цементных пятен ПЭт 0,5л</t>
  </si>
  <si>
    <t>УТ000059374</t>
  </si>
  <si>
    <t>Универсальный клей Момент 30мл, для кожи и замша,  водостойкий Россия</t>
  </si>
  <si>
    <t>УТ000059431</t>
  </si>
  <si>
    <t>Усилитель НЧ 2,1 канальный D класса, 2*50W+100W, Uпит 12-26В, 4/8 Ом, чип TPA3116D2, XH-M139</t>
  </si>
  <si>
    <t>УТ000059164</t>
  </si>
  <si>
    <t>Фонарь налобный 872-G аккумуляторный 3 LED</t>
  </si>
  <si>
    <t>УТ000052875</t>
  </si>
  <si>
    <t>Фонарь налобный MX-T118-T6 (СЗУ, АЗУ, 2x181650 8800 mAh) черно-серый DREAM</t>
  </si>
  <si>
    <t>УТ000059405</t>
  </si>
  <si>
    <t>Чернитель (блеск) для шин 550мл (триггер Black tire) 3TON</t>
  </si>
  <si>
    <t>УТ000053097</t>
  </si>
  <si>
    <t>Шина "N" нулевая (латунь) в изоляторе на DIN-рейку 6x9мм, 6 групп, Smartbuy (SBE-bc-6-dri)</t>
  </si>
  <si>
    <t>УТ000044829</t>
  </si>
  <si>
    <t>Шина "N" нулевая (латунь) с изолятором на DIN-рейку 6x9мм, 10 групп, Smartbuy SBE-dc-10 dr</t>
  </si>
  <si>
    <t xml:space="preserve"> Аксессуары для автомобиля</t>
  </si>
  <si>
    <t xml:space="preserve"> Автоэлектроника</t>
  </si>
  <si>
    <t xml:space="preserve"> Видеорегистраторы, радар-детекторы</t>
  </si>
  <si>
    <t xml:space="preserve"> Видеорегистраторы</t>
  </si>
  <si>
    <t>УТ000029522</t>
  </si>
  <si>
    <t>Видеорегистратор DashCam T675 (Full HD)</t>
  </si>
  <si>
    <t>УТ000033223</t>
  </si>
  <si>
    <t>Видеорегистратор Dream C218</t>
  </si>
  <si>
    <t>УТ000057290</t>
  </si>
  <si>
    <t>Видеорегистратор ENERGY POWER H309 HD sensor (miniUSB)</t>
  </si>
  <si>
    <t>УТ000059165</t>
  </si>
  <si>
    <t>Видеорегистратор ENERGY POWER V1 HD (miniUSB)</t>
  </si>
  <si>
    <t>УТ000057292</t>
  </si>
  <si>
    <t>Видеорегистратор ENERGY POWER V4 HD (miniUSB)</t>
  </si>
  <si>
    <t>УТ000011190</t>
  </si>
  <si>
    <t>Видеорегистратор HАD-21 (1280х720, 30к/с, IR-Подсветка, miniUSB, TF, запись звука, микрофон) (О`)</t>
  </si>
  <si>
    <t>УТ000041636</t>
  </si>
  <si>
    <t>Видеорегистратор T681TP (Full HD)</t>
  </si>
  <si>
    <t>УТ000055815</t>
  </si>
  <si>
    <t>Видеорегистратор T686TP (Full HD)</t>
  </si>
  <si>
    <t>УТ000040148</t>
  </si>
  <si>
    <t>Видеорегистратор TS-CAR20</t>
  </si>
  <si>
    <t>УТ000037707</t>
  </si>
  <si>
    <t>Видеорегистратор TS-CAR22</t>
  </si>
  <si>
    <t xml:space="preserve"> Видеорегистраторы зеркало</t>
  </si>
  <si>
    <t>УТ000055819</t>
  </si>
  <si>
    <t>Видеорегистратор+зеркало L1001C  (2 камеры)</t>
  </si>
  <si>
    <t>УТ000034900</t>
  </si>
  <si>
    <t>Видеорегистратор-зеркало Dream M018, черный</t>
  </si>
  <si>
    <t>УТ000041967</t>
  </si>
  <si>
    <t>Видеорегистратор-зеркало Dream M069 (2 камеры)</t>
  </si>
  <si>
    <t>УТ000037704</t>
  </si>
  <si>
    <t>Видеорегистратор-зеркало TS-CAR10 2 камеры)</t>
  </si>
  <si>
    <t xml:space="preserve"> Видеорегистраторы с камерой заднего вида</t>
  </si>
  <si>
    <t>УТ000058058</t>
  </si>
  <si>
    <t>Видеорегистратор ENERGY POWER A88 WIFI HD 2 камеры (miniUSB)</t>
  </si>
  <si>
    <t>УТ000059166</t>
  </si>
  <si>
    <t>Видеорегистратор ENERGY POWER C50B HD 3 камеры (miniUSB)</t>
  </si>
  <si>
    <t>УТ000055125</t>
  </si>
  <si>
    <t>Видеорегистратор T640 (2 камеры)</t>
  </si>
  <si>
    <t>УТ000055813</t>
  </si>
  <si>
    <t>Видеорегистратор T661 (3 камеры)</t>
  </si>
  <si>
    <t>УТ000055814</t>
  </si>
  <si>
    <t>Видеорегистратор T669</t>
  </si>
  <si>
    <t xml:space="preserve"> Радар-детекторы</t>
  </si>
  <si>
    <t xml:space="preserve"> Радар-детектор</t>
  </si>
  <si>
    <t>УТ000011544</t>
  </si>
  <si>
    <t>Радар-детектор Орбита V7 (7 диап., 360*, реж: MUTE, TREC, CITY, 1000м, Автодория) (О`)</t>
  </si>
  <si>
    <t xml:space="preserve"> Шнуры питания в прикуриватель 12В</t>
  </si>
  <si>
    <t>УТ000057506</t>
  </si>
  <si>
    <t>Шнур питания в прикуриватель, витой провод, разъем DC 3.5-1.35мм, 1.3м, 12В-24В</t>
  </si>
  <si>
    <t>УТ000025300</t>
  </si>
  <si>
    <t>Шнур питания в прикуриватель, витой провод, разъем DC 5.5-2.1мм, 1.3м, 12В-24В</t>
  </si>
  <si>
    <t>УТ000057015</t>
  </si>
  <si>
    <t>Шнур питания в прикуриватель, дополнительное гнездо, угловой штекер, 12В, 3,5x1,35мм, 1,5м, LP9</t>
  </si>
  <si>
    <t>УТ000057034</t>
  </si>
  <si>
    <t>Шнур питания в прикуриватель, дополнительное гнездо, угловой штекер, 12В, 3,5x1,35мм, 3,5м, LP9</t>
  </si>
  <si>
    <t>УТ000057035</t>
  </si>
  <si>
    <t>Шнур питания в прикуриватель, дополнительное гнездо, угловой штекер, 12В, 5,5x2.5мм, 1,5м, LP9</t>
  </si>
  <si>
    <t>УТ000057036</t>
  </si>
  <si>
    <t>Шнур питания в прикуриватель, дополнительное гнездо, угловой штекер, 12В, 5,5x2.5мм, 3,5м, LP9</t>
  </si>
  <si>
    <t>УТ000056913</t>
  </si>
  <si>
    <t>Шнур питания в прикуриватель, кнопка, прямой штекер, 12В, 5,5x2,5мм, 1,5м</t>
  </si>
  <si>
    <t>УТ000058573</t>
  </si>
  <si>
    <t>Шнур питания в прикуриватель, кнопка, прямой штекер, 12В, 5.5x2.5мм, 1,5м</t>
  </si>
  <si>
    <t>УТ000058913</t>
  </si>
  <si>
    <t>Шнур питания в прикуриватель, кнопка, угловой штекер, 12В, 3,5x1,35мм, 1,2м, LP8</t>
  </si>
  <si>
    <t>УТ000047136</t>
  </si>
  <si>
    <t>Шнур питания в прикуриватель, кнопка, угловой штекер, 12В, 3.5x1.35мм, 3.5м, LP8</t>
  </si>
  <si>
    <t>УТ000047138</t>
  </si>
  <si>
    <t>Шнур питания в прикуриватель, кнопка, угловой штекер, 12В, 5,5x2,5мм, 3,5м, LP8</t>
  </si>
  <si>
    <t xml:space="preserve"> Шнуры питания в прикуриватель 5В</t>
  </si>
  <si>
    <t>УТ000056572</t>
  </si>
  <si>
    <t>Кабель питания установочный для авто 2.5м (12-24В, miniUSB, 2500mA) TDS TS-CAU65</t>
  </si>
  <si>
    <t>УТ000056573</t>
  </si>
  <si>
    <t>Кабель питания установочный для авто 2.5м (12-24В, miniUSB, 2500mA) TDS TS-CAU66</t>
  </si>
  <si>
    <t>УТ000048431</t>
  </si>
  <si>
    <t>Шнур питания в прикуриватель miniUSB LP4 (3.5м, 5v, 2000мА)</t>
  </si>
  <si>
    <t>УТ000048432</t>
  </si>
  <si>
    <t>Шнур питания в прикуриватель miniUSB LP5 (1.5м, 5v, 2000мА)</t>
  </si>
  <si>
    <t>УТ000057750</t>
  </si>
  <si>
    <t>Шнур питания в прикуриватель miniUSB TS-CAU60 (3,5м, 12-24V, + гнездо Type-C PD20W)</t>
  </si>
  <si>
    <t>УТ000016440</t>
  </si>
  <si>
    <t>Шнур питания в прикуриватель miniUSB XQA1</t>
  </si>
  <si>
    <t xml:space="preserve"> Крепление на стекло для видеорегистраторов</t>
  </si>
  <si>
    <t>00410055815</t>
  </si>
  <si>
    <t>Крепление для видеорегистратора на стекло, винтовое соединение, шарнир, присоска, KO-020</t>
  </si>
  <si>
    <t>УТ000003103</t>
  </si>
  <si>
    <t>Крепление для видеорегистратора на стекло, винтовое соединение, шарнир, присоска, KO-027</t>
  </si>
  <si>
    <t>00410055816</t>
  </si>
  <si>
    <t>Крепление для видеорегистратора на стекло, винтовое соединение, штанга, присоска КО-021</t>
  </si>
  <si>
    <t>УТ000003099</t>
  </si>
  <si>
    <t>Крепление для видеорегистратора на стекло, соединение защелка, присоска, KO-023</t>
  </si>
  <si>
    <t>УТ000003102</t>
  </si>
  <si>
    <t>Крепление для видеорегистратора на стекло, соединение защелка, присоска, KO-026</t>
  </si>
  <si>
    <t>00410056644</t>
  </si>
  <si>
    <t>Крепление для видеорегистратора на стекло, соединение защелка, штанга, присоска, KO-022</t>
  </si>
  <si>
    <t>УТ000003100</t>
  </si>
  <si>
    <t>Крепление для видеорегистратора на стекло, шарнир, присоска, KO-024</t>
  </si>
  <si>
    <t>УТ000003101</t>
  </si>
  <si>
    <t>Крепление для видеорегистратора на стекло, шарнир, присоска, KO-025</t>
  </si>
  <si>
    <t xml:space="preserve"> Автоантенны</t>
  </si>
  <si>
    <t xml:space="preserve"> Антенны для авто радио УКВ, FM, АМ</t>
  </si>
  <si>
    <t xml:space="preserve"> Автоантенны внутресалонные</t>
  </si>
  <si>
    <t>УТ000058495</t>
  </si>
  <si>
    <t>Антенна автомобильная активная FM, УКВ, СВ, ДВ, AM, усиление до 15 дБ</t>
  </si>
  <si>
    <t>УТ000058494</t>
  </si>
  <si>
    <t>Антенна автомобильная активная FM, УКВ, СВ, ДВ, AM, усиление до 15 дБ, прямоугольное основание</t>
  </si>
  <si>
    <t>УТ000054326</t>
  </si>
  <si>
    <t>Антенна автомобильная активная FM, УКВ, усиление 5 дБ, длина провода 3м, город</t>
  </si>
  <si>
    <t xml:space="preserve"> Удлинители, усилители авто антенны</t>
  </si>
  <si>
    <t>УТ000045821</t>
  </si>
  <si>
    <t>Антенный усилитель для автомобильного радио, FM/AM/DAB, 25дБ</t>
  </si>
  <si>
    <t>УТ000048787</t>
  </si>
  <si>
    <t>Удлинитель автомобильной радио антенны, штекер - гнездо, 1м</t>
  </si>
  <si>
    <t>УТ000048789</t>
  </si>
  <si>
    <t>Удлинитель автомобильной радио антенны, штекер - гнездо, 2м</t>
  </si>
  <si>
    <t>УТ000048790</t>
  </si>
  <si>
    <t>Удлинитель автомобильной радио антенны, штекер - гнездо, 3м</t>
  </si>
  <si>
    <t xml:space="preserve"> Автозвук</t>
  </si>
  <si>
    <t xml:space="preserve"> FM модуляторы</t>
  </si>
  <si>
    <t>УТ000051971</t>
  </si>
  <si>
    <t>MP3 FM Modulator + АЗУ QC3.0 Borofone BC43</t>
  </si>
  <si>
    <t>УТ000045550</t>
  </si>
  <si>
    <t>MP3 FM Modulator A-27 (Bluetooth, USB+microSD, кабель Lightning+MicroUSB,  пульт)</t>
  </si>
  <si>
    <t>УТ000055541</t>
  </si>
  <si>
    <t>MP3 FM Modulator BT-G6</t>
  </si>
  <si>
    <t>УТ000055543</t>
  </si>
  <si>
    <t>MP3 FM Modulator BT-M20</t>
  </si>
  <si>
    <t>УТ000053946</t>
  </si>
  <si>
    <t>MP3 FM Modulator Dream G7 (Bluetooth) белый</t>
  </si>
  <si>
    <t>УТ000034392</t>
  </si>
  <si>
    <t>MP3 FM Modulator Dream G7 (Bluetooth) чёрный</t>
  </si>
  <si>
    <t>УТ000043289</t>
  </si>
  <si>
    <t>MP3 FM Modulator G-28</t>
  </si>
  <si>
    <t>УТ000046001</t>
  </si>
  <si>
    <t>MP3 FM Modulator G-9 (Bluetooth, USB+USB питание 3,1А)</t>
  </si>
  <si>
    <t>УТ000026864</t>
  </si>
  <si>
    <t>MP3 FM Modulator i9 (AUX, пульт)</t>
  </si>
  <si>
    <t>УТ000034234</t>
  </si>
  <si>
    <t>MP3 FM Modulator M-12 (Bluetooth, AUX, пульт)</t>
  </si>
  <si>
    <t>УТ000050438</t>
  </si>
  <si>
    <t>MP3 FM Modulator M-17 (Bluetooth, AUX, MicroSD, 2 USB)</t>
  </si>
  <si>
    <t>УТ000036514</t>
  </si>
  <si>
    <t>MP3 FM Modulator S110BT (Bluetooth, USB, MicroUSB, AUX)</t>
  </si>
  <si>
    <t>УТ000051326</t>
  </si>
  <si>
    <t>MP3 FM Modulator T10A (Bluetooth)</t>
  </si>
  <si>
    <t>УТ000038910</t>
  </si>
  <si>
    <t>MP3 FM Modulator TS-CAF07 (Bluetooth, SD+microSD, пульт)</t>
  </si>
  <si>
    <t>УТ000038912</t>
  </si>
  <si>
    <t>MP3 FM Modulator TS-CAF11 (Bluetooth, SD+microSD, пульт)</t>
  </si>
  <si>
    <t>УТ000044053</t>
  </si>
  <si>
    <t>MP3 FM Modulator TS-CAF12 (Bluetooth, SD+microSD, пульт)</t>
  </si>
  <si>
    <t>УТ000045352</t>
  </si>
  <si>
    <t>MP3 FM Modulator TS-CAF13 (Bluetooth, SD+microSD, пульт)</t>
  </si>
  <si>
    <t>УТ000055584</t>
  </si>
  <si>
    <t>MP3 FM Modulator TS-CAF20 (Bluetooth,USB,PD)</t>
  </si>
  <si>
    <t>УТ000055585</t>
  </si>
  <si>
    <t>MP3 FM Modulator TS-CAF21 (Bluetooth, SD+microSD, пульт)</t>
  </si>
  <si>
    <t>УТ000040765</t>
  </si>
  <si>
    <t>MP3 FM Modulator X-14 (Bluetooth)</t>
  </si>
  <si>
    <t>УТ000038596</t>
  </si>
  <si>
    <t>MP3 FM Modulator X-21 (Bluetooth, AUX, пульт)</t>
  </si>
  <si>
    <t xml:space="preserve"> Автомагнитолы 1din</t>
  </si>
  <si>
    <t>УТ000057613</t>
  </si>
  <si>
    <t>Автомагнитола ENERGY SOUND 1782Е, bluetooth, 2 usb, micro, aux, fm, пульт</t>
  </si>
  <si>
    <t xml:space="preserve"> Акустические системы</t>
  </si>
  <si>
    <t>УТ000017486</t>
  </si>
  <si>
    <t>Акустическая система автомобильная CALCEELL CB-654 (d-16 см, 4-полосная, коаксиал, 190Вт)</t>
  </si>
  <si>
    <t>УТ000057621</t>
  </si>
  <si>
    <t>Акустическая система автомобильная PNR 1643 16cm</t>
  </si>
  <si>
    <t xml:space="preserve"> Клеммы для установки акустических компанентов</t>
  </si>
  <si>
    <t>УТ000058106</t>
  </si>
  <si>
    <t>Клемма акустическая 2.8мм,  позолоченная, черная (10)</t>
  </si>
  <si>
    <t>УТ000058107</t>
  </si>
  <si>
    <t>Клемма акустическая 4.8мм, позолоченная, красная (10)</t>
  </si>
  <si>
    <t>УТ000058108</t>
  </si>
  <si>
    <t>Клемма акустическая 6.35мм, позолоченная, красная/черная (10)</t>
  </si>
  <si>
    <t>УТ000057892</t>
  </si>
  <si>
    <t>Клемма вилочная, акустическая, крепление на винт</t>
  </si>
  <si>
    <t xml:space="preserve"> Комплекты для установки акустических компанентов</t>
  </si>
  <si>
    <t>УТ000058433</t>
  </si>
  <si>
    <t>Акустический комплект проводов 1500w ENERGY POWER 8055-8G</t>
  </si>
  <si>
    <t>УТ000058434</t>
  </si>
  <si>
    <t>Акустический комплект проводов 1500w ENERGY POWER BS-320</t>
  </si>
  <si>
    <t>УТ000058431</t>
  </si>
  <si>
    <t>Акустический комплект проводов 1500w ENERGY POWER X9</t>
  </si>
  <si>
    <t>УТ000058436</t>
  </si>
  <si>
    <t>Акустический комплект проводов 2500w ENERGY POWER М8</t>
  </si>
  <si>
    <t>УТ000054435</t>
  </si>
  <si>
    <t>Акустический комплект проводов, 5м ,10GA TS-CAD06</t>
  </si>
  <si>
    <t>УТ000056567</t>
  </si>
  <si>
    <t>Акустический комплект проводов, 5м ,4GA TS-CAD03</t>
  </si>
  <si>
    <t>УТ000054434</t>
  </si>
  <si>
    <t>Акустический комплект проводов, 5м ,8GA TS-CAD05</t>
  </si>
  <si>
    <t>УТ000056569</t>
  </si>
  <si>
    <t>Конвектор уровня сигнала высокий-низкий, 2*RCA TDS TS-CAD09</t>
  </si>
  <si>
    <t xml:space="preserve"> Межблочные кабеля акустических компанентов</t>
  </si>
  <si>
    <t>УТ000057630</t>
  </si>
  <si>
    <t>Акустический комплект проводов BIC TREE SX-8GA 1800w</t>
  </si>
  <si>
    <t>УТ000057629</t>
  </si>
  <si>
    <t>Акустический комплект проводов DV-Pioneer.ok TB-518 8GA 1800w</t>
  </si>
  <si>
    <t xml:space="preserve"> Предохранители для автоакустики</t>
  </si>
  <si>
    <t>УТ000057091</t>
  </si>
  <si>
    <t>Предохранитель для авто акустики ANL 100A, держатель-колба, комплект ЕМAZ-10410</t>
  </si>
  <si>
    <t>УТ000057090</t>
  </si>
  <si>
    <t>Предохранитель для авто акустики ANL 80A, держатель-колба, комплект ЕМAZ-10480</t>
  </si>
  <si>
    <t>УТ000051628</t>
  </si>
  <si>
    <t>Предохранитель для автоакустики 8AGU, 12В, 60А</t>
  </si>
  <si>
    <t>УТ000056065</t>
  </si>
  <si>
    <t xml:space="preserve"> Разъёмы, переходники для автомагнитол</t>
  </si>
  <si>
    <t>УТ000041276</t>
  </si>
  <si>
    <t>Евроразъем ISO AWH-0104 штекеры, ответная часть, коннектор универсальный из 2шт</t>
  </si>
  <si>
    <t>УТ000055363</t>
  </si>
  <si>
    <t>Евроразъем ISO AWH-0201 коннектор универсальный из 2шт</t>
  </si>
  <si>
    <t>УТ000055637</t>
  </si>
  <si>
    <t>Евроразъем ISO AWH-0204 коннектор универсальный из 2шт, премиум</t>
  </si>
  <si>
    <t xml:space="preserve"> Автокомпресоры</t>
  </si>
  <si>
    <t>УТ000005477</t>
  </si>
  <si>
    <t>Автомобильный компрессор 20 л/мин, 7 атм, 12В, 100Вт, набор насадок AVS KS200P Turbo</t>
  </si>
  <si>
    <t>УТ000002453</t>
  </si>
  <si>
    <t>Автомобильный компрессор 35 л/мин, 10 атм, 12В, 150Вт, набор насадок, сумка AVS KS350L Turbo</t>
  </si>
  <si>
    <t>УТ000007909</t>
  </si>
  <si>
    <t>Автомобильный компрессор 40 л/мин, 10 атм, 12В, 160Вт, электронный манометр, набор насадок, сумка AVS KE400EL Turbo</t>
  </si>
  <si>
    <t>УТ000025420</t>
  </si>
  <si>
    <t>Автомобильный компрессор 40 л/мин, 150W, 12V, 10АТМ. 14А, Turbo KA580</t>
  </si>
  <si>
    <t>УТ000002454</t>
  </si>
  <si>
    <t>Автомобильный компрессор 45 л/мин, 10 атм, 12В, 200Вт, набор насадок, сумка, шланг-удлинитель AVS KS450L Turbo</t>
  </si>
  <si>
    <t>УТ000002455</t>
  </si>
  <si>
    <t>Автомобильный компрессор 60 л/мин, 10 атм, 12В, 250Вт, набор насадок, сумка, шланг-удлинитель AVS KS600 Turbo</t>
  </si>
  <si>
    <t>УТ000057600</t>
  </si>
  <si>
    <t>Компрессор TORNADO AC-580 12B 35л/мин 150PSI,12-13.5V,14A, с сумкой (47555)</t>
  </si>
  <si>
    <t>УТ000057051</t>
  </si>
  <si>
    <t>Компрессор автомобильный HOCO PH55 чёрный</t>
  </si>
  <si>
    <t>УТ000056564</t>
  </si>
  <si>
    <t>Компрессор автомобильный TDS TS-CAA43</t>
  </si>
  <si>
    <t>УТ000056740</t>
  </si>
  <si>
    <t>Компрессор центробежный для матраса, лодки 12/220В KK-04 Airline</t>
  </si>
  <si>
    <t>УТ000055181</t>
  </si>
  <si>
    <t>Компрессор центробежный для матраса, лодки 12В KK-03 Airline</t>
  </si>
  <si>
    <t>УТ000048175</t>
  </si>
  <si>
    <t>Шланг спиральный для компрессора 10м, 1/4 ( Евро )  Spark Lux</t>
  </si>
  <si>
    <t>УТ000049616</t>
  </si>
  <si>
    <t>Шланг спиральный для компрессора 20м, 1/4 ( Евро )  Spark Lux</t>
  </si>
  <si>
    <t xml:space="preserve"> Автосигнализации, брелки, запчасти для сигнализаций</t>
  </si>
  <si>
    <t xml:space="preserve"> Брелки автосигнализаций</t>
  </si>
  <si>
    <t>УТ000021582</t>
  </si>
  <si>
    <t>Брелок для сигнализации LCD Tomahawk TW-9030</t>
  </si>
  <si>
    <t>УТ000030011</t>
  </si>
  <si>
    <t>Брелок для сигнализации LCD Tomahawk X5</t>
  </si>
  <si>
    <t>УТ000021580</t>
  </si>
  <si>
    <t>Брелок для сигнализации StarLine A91</t>
  </si>
  <si>
    <t>УТ000028561</t>
  </si>
  <si>
    <t>Брелок для сигнализации StarLine B9</t>
  </si>
  <si>
    <t xml:space="preserve"> Чехлы брелка сигнализации</t>
  </si>
  <si>
    <t>УТ000038313</t>
  </si>
  <si>
    <t>Чехол брелка сигнализации Scher-khan IV силикон</t>
  </si>
  <si>
    <t>УТ000038314</t>
  </si>
  <si>
    <t>Чехол брелка сигнализации Scher-khan V/VI силикон</t>
  </si>
  <si>
    <t>УТ000007498</t>
  </si>
  <si>
    <t>Чехол брелка сигнализации StarLine A63/93</t>
  </si>
  <si>
    <t>УТ000054186</t>
  </si>
  <si>
    <t>Чехол брелка сигнализации StarLine Е-серии силикон красный</t>
  </si>
  <si>
    <t xml:space="preserve"> Брелки, пульты для ворот, шлагбаума</t>
  </si>
  <si>
    <t>УТ000040153</t>
  </si>
  <si>
    <t>Пульт для ворот, шлагбаума, 2 кнопки, статический код, 433.92МГц CAME TOP-432EV OT-CAS07</t>
  </si>
  <si>
    <t>УТ000053477</t>
  </si>
  <si>
    <t>Пульт для ворот, шлагбаума, 4 кнопки, копирование статических ключей, 433 МГц AN Motors AT-4</t>
  </si>
  <si>
    <t>УТ000039424</t>
  </si>
  <si>
    <t>Пульт для ворот, шлагбаума, 4 кнопки, копирование статических ключей, 433 МГц Apollo Jast JOLLY</t>
  </si>
  <si>
    <t>УТ000048046</t>
  </si>
  <si>
    <t>Пульт для ворот, шлагбаума, 4 кнопки, копирование статических ключей, 433 МГц Apollo Jast JOY</t>
  </si>
  <si>
    <t>УТ000005500</t>
  </si>
  <si>
    <t>Пульт для ворот, шлагбаума, 4 кнопки, статический код,  433 МГц, 27А</t>
  </si>
  <si>
    <t>УТ000046391</t>
  </si>
  <si>
    <t xml:space="preserve"> Зарядные устройства для автомобильных аккумуляторов</t>
  </si>
  <si>
    <t xml:space="preserve"> Зарядные устройства для АКБ</t>
  </si>
  <si>
    <t>УТ000014196</t>
  </si>
  <si>
    <t>Зарядное устройство AVS Energy BT-1206T для авто аккумулятора 6A, 6В/12В</t>
  </si>
  <si>
    <t>УТ000028250</t>
  </si>
  <si>
    <t>Зарядное устройство AVS Energy BT-6010 для авто аккумулятора 7A, 6В/12В</t>
  </si>
  <si>
    <t>УТ000009471</t>
  </si>
  <si>
    <t>Зарядное устройство AVS Energy BT-6023 для авто аккумулятора 5A, 6В/12В</t>
  </si>
  <si>
    <t>УТ000019875</t>
  </si>
  <si>
    <t>Зарядное устройство AVS Energy BT-6040 для авто аккумулятора 20A, 12В/24В</t>
  </si>
  <si>
    <t xml:space="preserve"> Провод для прикуривания</t>
  </si>
  <si>
    <t>УТ000056860</t>
  </si>
  <si>
    <t>Пусковые провода 100А 2.5м (-30C*)</t>
  </si>
  <si>
    <t>УТ000042341</t>
  </si>
  <si>
    <t>Пусковые провода 200А, 2,28м, сумка, Autovirazh AV-911200</t>
  </si>
  <si>
    <t>УТ000056861</t>
  </si>
  <si>
    <t>Пусковые провода 300A 2.5м (-30C*)</t>
  </si>
  <si>
    <t>УТ000020312</t>
  </si>
  <si>
    <t>Пусковые провода 300A 3.0м, пакет Lavita LA-193300</t>
  </si>
  <si>
    <t>УТ000042342</t>
  </si>
  <si>
    <t>Пусковые провода 300А, 2,28м, сумка, Autovirazh AV-911300</t>
  </si>
  <si>
    <t xml:space="preserve"> Пуско-зарядное автономное, бустер</t>
  </si>
  <si>
    <t>УТ000058285</t>
  </si>
  <si>
    <t>Устройство пуско-зарядное автономное (бустер) TDS TS-CAU53 красный</t>
  </si>
  <si>
    <t>УТ000054352</t>
  </si>
  <si>
    <t>Устройство пуско-зарядное автономное (бустер) TDS TS-CAU53 синий</t>
  </si>
  <si>
    <t>УТ000054353</t>
  </si>
  <si>
    <t>Устройство пуско-зарядное автономное (бустер) TDS TS-CAU53 черный</t>
  </si>
  <si>
    <t xml:space="preserve"> Инверторы автомобильные , преобразователи напряжения</t>
  </si>
  <si>
    <t>УТ000046764</t>
  </si>
  <si>
    <t>Автомобильный инвертор 12/220V, 100W Robiton CN100USB 100W</t>
  </si>
  <si>
    <t>УТ000046194</t>
  </si>
  <si>
    <t>Автомобильный инвертор 12/220V, 300W Robiton CN300W</t>
  </si>
  <si>
    <t xml:space="preserve"> Камеры заднего вида, парковочные системы</t>
  </si>
  <si>
    <t xml:space="preserve"> Датчики парковочных систем</t>
  </si>
  <si>
    <t>УТ000031824</t>
  </si>
  <si>
    <t>Датчик парктроника AVS 18мм*2.5м белый</t>
  </si>
  <si>
    <t>УТ000031826</t>
  </si>
  <si>
    <t>Датчик парктроника AVS 18мм*2.5м серебро</t>
  </si>
  <si>
    <t>УТ000031825</t>
  </si>
  <si>
    <t>Датчик парктроника AVS 20мм*2.5м белый</t>
  </si>
  <si>
    <t>УТ000031827</t>
  </si>
  <si>
    <t>Датчик парктроника AVS 20мм*2.5м серебро</t>
  </si>
  <si>
    <t>УТ000026149</t>
  </si>
  <si>
    <t>Датчик парктроника AVS 20мм*2.5м чёрный</t>
  </si>
  <si>
    <t>00410052379</t>
  </si>
  <si>
    <t>Датчик парктроника AVS 22мм*2.5м белый</t>
  </si>
  <si>
    <t>УТ000011490</t>
  </si>
  <si>
    <t>Датчик парктроника AVS 22мм*2.5м темно-серый</t>
  </si>
  <si>
    <t>УТ000011491</t>
  </si>
  <si>
    <t>Датчик парктроника AVS 22мм*2.5м темно-синий</t>
  </si>
  <si>
    <t xml:space="preserve"> Камеры заднего вида</t>
  </si>
  <si>
    <t>УТ000016393</t>
  </si>
  <si>
    <t>Камера заднего вида 420ТВЛ, IP66, 12В, LED подсветка, парковочные линии</t>
  </si>
  <si>
    <t>УТ000052889</t>
  </si>
  <si>
    <t>УТ000043018</t>
  </si>
  <si>
    <t>УТ000052888</t>
  </si>
  <si>
    <t>Камера заднего вида 420ТВЛ, IP66, 12В, парковочные линии</t>
  </si>
  <si>
    <t>УТ000052891</t>
  </si>
  <si>
    <t>Камера заднего вида 420ТВЛ, IP66, 12В, парковочные линии, матрица 3003</t>
  </si>
  <si>
    <t>УТ000052890</t>
  </si>
  <si>
    <t>Камера заднего вида 420ТВЛ, IP66, 12В, парковочные линии, матрица 7955</t>
  </si>
  <si>
    <t>УТ000052283</t>
  </si>
  <si>
    <t>Камера заднего вида 500ТВЛ, IP66, 12В, 4pin, парковочные линии TS-CAV25</t>
  </si>
  <si>
    <t>УТ000057745</t>
  </si>
  <si>
    <t>Камера заднего вида 500ТВЛ, IP66, 12В, парковочные линии TS-CAV26</t>
  </si>
  <si>
    <t>УТ000057746</t>
  </si>
  <si>
    <t>Камера заднего вида 600ТВЛ, IP66, 12В</t>
  </si>
  <si>
    <t>УТ000057747</t>
  </si>
  <si>
    <t>УТ000056570</t>
  </si>
  <si>
    <t>УТ000052282</t>
  </si>
  <si>
    <t>Камера заднего вида 600ТВЛ, IP66, 12В, 4pin, парковочные линии TS-CAV24</t>
  </si>
  <si>
    <t>УТ000045355</t>
  </si>
  <si>
    <t>Камера заднего вида 600ТВЛ, IP66, 12В, парковочные линии TS-CAV15</t>
  </si>
  <si>
    <t>УТ000045356</t>
  </si>
  <si>
    <t>Камера заднего вида 600ТВЛ, IP66, 12В, парковочные линии TS-CAV18</t>
  </si>
  <si>
    <t>УТ000045357</t>
  </si>
  <si>
    <t>Камера заднего вида 600ТВЛ, IP66, 12В, парковочные линии TS-CAV20</t>
  </si>
  <si>
    <t>УТ000048696</t>
  </si>
  <si>
    <t>Камера заднего вида 600ТВЛ, IP66, 12В, парковочные линии, разьем Jack, для видеорегистраторов</t>
  </si>
  <si>
    <t>УТ000058607</t>
  </si>
  <si>
    <t>Камера заднего вида HD-N320 LED(7080 solution) рыбий глаз</t>
  </si>
  <si>
    <t>УТ000051328</t>
  </si>
  <si>
    <t>Камера заднего вида универсальная, бабочка, накладная, круглая (№9)</t>
  </si>
  <si>
    <t>УТ000051330</t>
  </si>
  <si>
    <t>Камера заднего вида универсальная, с подсветкой 12 диодов, на кронштейне, квадратная</t>
  </si>
  <si>
    <t>УТ000051329</t>
  </si>
  <si>
    <t>Камера заднего вида универсальная, с подсветкой 4 диода, квадратная (№2)</t>
  </si>
  <si>
    <t>УТ000002187</t>
  </si>
  <si>
    <t>Коммутатор видеосигнала для двух видеокамер PARKVISION PSB-001 (Ток питания  1.2 А; Видеовход1:  RCA,  6-контактный mini-DIN; Видеовход2: 6-контактный mini-DIN,  4-контактный mini-DIN; Видеовыход: RCA, mini-DIN 8-контактный; Габариты (ДхШхВ), мм 88х72х27)</t>
  </si>
  <si>
    <t xml:space="preserve"> Мониторы</t>
  </si>
  <si>
    <t>УТ000056551</t>
  </si>
  <si>
    <t>Монитор автомобильный 4,3" + камера заднего вида 800х480, 9-32В TDS TS-CAV33</t>
  </si>
  <si>
    <t>УТ000056552</t>
  </si>
  <si>
    <t>Монитор автомобильный 4,3" + камера заднего вида 800х480, 9-32В TDS TS-CAV35</t>
  </si>
  <si>
    <t>УТ000014590</t>
  </si>
  <si>
    <t>Монитор автомобильный 4,3" 12В, 2 канала AC-430 (TS-CAV09)</t>
  </si>
  <si>
    <t>УТ000014637</t>
  </si>
  <si>
    <t>Монитор автомобильный 4,3" складной</t>
  </si>
  <si>
    <t xml:space="preserve"> Устройства в автоприкуриватель</t>
  </si>
  <si>
    <t xml:space="preserve"> Прикуриватели</t>
  </si>
  <si>
    <t>УТ000055048</t>
  </si>
  <si>
    <t>Прикуриватель автомобильный 12В/24В</t>
  </si>
  <si>
    <t>УТ000057719</t>
  </si>
  <si>
    <t>Прикуриватель автомобильный с гнездом, комплект, провод 100мм</t>
  </si>
  <si>
    <t xml:space="preserve"> Разветвители прикуривателя</t>
  </si>
  <si>
    <t>00410055985</t>
  </si>
  <si>
    <t>Разветвитель прикуривателя AVS 12/24 (на 2 выхода)  CS203</t>
  </si>
  <si>
    <t>00410055200</t>
  </si>
  <si>
    <t>Разветвитель прикуривателя AVS 12/24 (на 2 выхода)  CS204  со светодиодной подсветкой</t>
  </si>
  <si>
    <t>00410057533</t>
  </si>
  <si>
    <t>Разветвитель прикуривателя AVS 12/24 (на 2 выхода)  CS205  со светодиодной подсветкой</t>
  </si>
  <si>
    <t>00410055201</t>
  </si>
  <si>
    <t>Разветвитель прикуривателя AVS 12/24 (на 2 выхода+USB порт)  CS212U  со светодиодной подсветкой</t>
  </si>
  <si>
    <t>00410055202</t>
  </si>
  <si>
    <t>Разветвитель прикуривателя AVS 12/24 (на 2 выхода+USB)  CS213U</t>
  </si>
  <si>
    <t>УТ000036071</t>
  </si>
  <si>
    <t>Разветвитель прикуривателя Dream A808 (2 гнезда, 2 USB)</t>
  </si>
  <si>
    <t>УТ000040698</t>
  </si>
  <si>
    <t>Разветвитель прикуривателя Dream WF-096 (3 гнезда, USB)</t>
  </si>
  <si>
    <t>УТ000040685</t>
  </si>
  <si>
    <t>Разветвитель прикуривателя Dream WF-0963 (3 гнезда, 2 USB)</t>
  </si>
  <si>
    <t>УТ000040706</t>
  </si>
  <si>
    <t>Разветвитель прикуривателя Dream WF-0966 (3 гнезда, 2 USB)</t>
  </si>
  <si>
    <t>УТ000040676</t>
  </si>
  <si>
    <t>Разветвитель прикуривателя Dream WF-102 (2 гнезда, 2 USB)</t>
  </si>
  <si>
    <t>УТ000040707</t>
  </si>
  <si>
    <t>Разветвитель прикуривателя Dream WF-1204 (4 гнезда, 2 USB)</t>
  </si>
  <si>
    <t>УТ000029119</t>
  </si>
  <si>
    <t>Разветвитель прикуривателя Olesson WF-1502, на шнуре, 2 гнезда, 2 USB на 1000mA.</t>
  </si>
  <si>
    <t>УТ000012901</t>
  </si>
  <si>
    <t>Разветвитель прикуривателя Olesson WF-1521, на шнуре, 3 гнезда</t>
  </si>
  <si>
    <t>УТ000021098</t>
  </si>
  <si>
    <t>Разветвитель прикуривателя Olesson WF-1526, на  ножке и шнуре, 3 гнезда, 1 USB на 1200mA.</t>
  </si>
  <si>
    <t>УТ000021101</t>
  </si>
  <si>
    <t>Разветвитель прикуривателя Olesson WF-1632, на щнуре, 3 гнезда</t>
  </si>
  <si>
    <t>УТ000021105</t>
  </si>
  <si>
    <t>Разветвитель прикуривателя Olesson WF-1635, на шнуре, 3 гнезда, 2 USB на 1200mA</t>
  </si>
  <si>
    <t>УТ000022383</t>
  </si>
  <si>
    <t>Разветвитель прикуривателя Olesson WF-1636, на шнуре, 3 гнезда, 2 USB на 1000mA.</t>
  </si>
  <si>
    <t>УТ000029125</t>
  </si>
  <si>
    <t>Разветвитель прикуривателя Olesson WF-1644, на шнуре, 2 гнезда</t>
  </si>
  <si>
    <t>УТ000055136</t>
  </si>
  <si>
    <t>Разветвитель прикуривателя Olesson WF-1653, на шнуре, 3 гнезда, 2 USB, Type-c</t>
  </si>
  <si>
    <t>УТ000057049</t>
  </si>
  <si>
    <t>Разветвитель прикуривателя Olesson WF-1654, на шнуре, 4 гнезда, 2 USB, Type-C</t>
  </si>
  <si>
    <t>00401051115</t>
  </si>
  <si>
    <t>Разветвитель прикуривателя TD-303 TS-CAU18 (вход 12B, 2 выхода 12B, 2 гнезда USB)</t>
  </si>
  <si>
    <t>УТ000014034</t>
  </si>
  <si>
    <t>Разветвитель прикуривателя WF-0120 (3 гн.+USB)</t>
  </si>
  <si>
    <t xml:space="preserve"> Удлитель прикуривателя</t>
  </si>
  <si>
    <t>00410056119</t>
  </si>
  <si>
    <t>Удлинитель - переходник 2 крокодила - предохранитель 3А, 1.5м AP-05 (TD-61)</t>
  </si>
  <si>
    <t>УТ000055558</t>
  </si>
  <si>
    <t>Удлинитель автомобильного прикуривателя, штекер - гнездо прикуривателя, предохранитель 20А, длина 3,6м АР-06</t>
  </si>
  <si>
    <t>УТ000057507</t>
  </si>
  <si>
    <t>Удлинитель прикуривателя 12/24В, 2 крокодила - гнездо прикуривателя, провод 2*1,5кв.мм, 1м</t>
  </si>
  <si>
    <t>УТ000057508</t>
  </si>
  <si>
    <t>Удлинитель прикуривателя 12/24В, 2 крокодила - гнездо прикуривателя, провод 2*2,5кв.мм, 1м</t>
  </si>
  <si>
    <t>УТ000053478</t>
  </si>
  <si>
    <t>Удлинитель-переходник 2 крокодила - гнездо прикуривателя (не разборный)  WF4 , АP-04</t>
  </si>
  <si>
    <t xml:space="preserve"> Автоаксессуары</t>
  </si>
  <si>
    <t xml:space="preserve"> Автовизитки, таблички, наклейки</t>
  </si>
  <si>
    <t>УТ000050508</t>
  </si>
  <si>
    <t>Автовизитка Dream JK-297 Plus, черный</t>
  </si>
  <si>
    <t>УТ000057039</t>
  </si>
  <si>
    <t>Автовизитка парковочная CR008 с номером телефона, серебро</t>
  </si>
  <si>
    <t>УТ000057038</t>
  </si>
  <si>
    <t>Автовизитка парковочная CR008 с номером телефона, чёрная</t>
  </si>
  <si>
    <t>УТ000019929</t>
  </si>
  <si>
    <t>Наклейка знак "Ш" (*`)</t>
  </si>
  <si>
    <t xml:space="preserve"> Автомобильные дворники</t>
  </si>
  <si>
    <t>УТ000058447</t>
  </si>
  <si>
    <t>Дворники Autovirazh-250 19" бескаркасная премиум (480мм) 8 адаптеров</t>
  </si>
  <si>
    <t>УТ000058448</t>
  </si>
  <si>
    <t>Дворники Autovirazh-250 24" бескаркасная премиум (600мм) 7 адаптеров</t>
  </si>
  <si>
    <t>00410055415</t>
  </si>
  <si>
    <t>Дворники AVS б/к 28см "11" (1шт.) универсальные</t>
  </si>
  <si>
    <t>00410057514</t>
  </si>
  <si>
    <t>Дворники AVS-780 б/к "21 "19" (2шт.) V.W. GOLF/Volvo/NEW BORA</t>
  </si>
  <si>
    <t>УТ000036734</t>
  </si>
  <si>
    <t>Щетки стеклоочистителя AVS Maximal Line 28" (70см) 10 адаптеров</t>
  </si>
  <si>
    <t>УТ000027044</t>
  </si>
  <si>
    <t>Щетки стеклоочистителя AVS Multi-Cap 5в1 MC-27 (68см)</t>
  </si>
  <si>
    <t>УТ000030339</t>
  </si>
  <si>
    <t>Щетки стеклоочистителя AVS Optimal Line 28  (70см)</t>
  </si>
  <si>
    <t xml:space="preserve"> Держатели для сотовых телефонов, планшетов</t>
  </si>
  <si>
    <t xml:space="preserve"> Держатели для планшета</t>
  </si>
  <si>
    <t>УТ000058365</t>
  </si>
  <si>
    <t>Держатель автомобильный Borofone BH100, пластик, торпедо, для смартфона/планшета, чёрный</t>
  </si>
  <si>
    <t xml:space="preserve"> Держатели магнитные</t>
  </si>
  <si>
    <t>УТ000019860</t>
  </si>
  <si>
    <t>Держатель мобильного телефона AVS AH-1501-M, магнитный, на дефлектор</t>
  </si>
  <si>
    <t>УТ000026000</t>
  </si>
  <si>
    <t>Держатель мобильного телефона AVS AH-1709M, магнитный, гибкая ножка</t>
  </si>
  <si>
    <t>УТ000026001</t>
  </si>
  <si>
    <t>Держатель мобильного телефона AVS AH-1710M, магнитный</t>
  </si>
  <si>
    <t>УТ000038704</t>
  </si>
  <si>
    <t>Держатель мобильного телефона Borofone BH10, магнитный, серебро</t>
  </si>
  <si>
    <t>УТ000034113</t>
  </si>
  <si>
    <t>Держатель мобильного телефона Borofone BH12, магнитный, черный</t>
  </si>
  <si>
    <t>УТ000035237</t>
  </si>
  <si>
    <t>Держатель мобильного телефона Borofone BH14, магнитный, черный</t>
  </si>
  <si>
    <t>УТ000050587</t>
  </si>
  <si>
    <t>Держатель мобильного телефона Borofone BH32, магнитный, черный</t>
  </si>
  <si>
    <t>УТ000050589</t>
  </si>
  <si>
    <t>Держатель мобильного телефона Borofone BH37, магнитный, черный</t>
  </si>
  <si>
    <t>УТ000050590</t>
  </si>
  <si>
    <t>Держатель мобильного телефона Borofone BH39, черный</t>
  </si>
  <si>
    <t>УТ000058977</t>
  </si>
  <si>
    <t>Держатель мобильного телефона Borofone BH40, магнитный, черный</t>
  </si>
  <si>
    <t>УТ000050586</t>
  </si>
  <si>
    <t>Держатель мобильного телефона Borofone BH41, магнитный, чёрный</t>
  </si>
  <si>
    <t>УТ000031994</t>
  </si>
  <si>
    <t>Держатель мобильного телефона Borofone BH5, магнитный, черный</t>
  </si>
  <si>
    <t>УТ000054332</t>
  </si>
  <si>
    <t>Держатель мобильного телефона Borofone BH67, магнитный, черный</t>
  </si>
  <si>
    <t>УТ000058782</t>
  </si>
  <si>
    <t>Держатель мобильного телефона Borofone BH68, магнитный, черный</t>
  </si>
  <si>
    <t>УТ000034115</t>
  </si>
  <si>
    <t>Держатель мобильного телефона Borofone BH7, магнитный, серебро</t>
  </si>
  <si>
    <t>УТ000048104</t>
  </si>
  <si>
    <t>Держатель мобильного телефона Borofone BH7, магнитный, черный</t>
  </si>
  <si>
    <t>УТ000036238</t>
  </si>
  <si>
    <t>Держатель мобильного телефона Borofone BH8, магнитный, серебро</t>
  </si>
  <si>
    <t>УТ000035239</t>
  </si>
  <si>
    <t>Держатель мобильного телефона Borofone BH8, магнитный, черный</t>
  </si>
  <si>
    <t>УТ000057454</t>
  </si>
  <si>
    <t>Держатель мобильного телефона Borofone BH89, на топеду, магнитный, черный</t>
  </si>
  <si>
    <t>УТ000058690</t>
  </si>
  <si>
    <t>Держатель мобильного телефона Dream CH112 (магнитный)</t>
  </si>
  <si>
    <t>УТ000058691</t>
  </si>
  <si>
    <t>Держатель мобильного телефона Dream CH115 (магнитный)</t>
  </si>
  <si>
    <t>УТ000058692</t>
  </si>
  <si>
    <t>Держатель мобильного телефона Dream CH116 (магнитный)</t>
  </si>
  <si>
    <t>УТ000057580</t>
  </si>
  <si>
    <t>Держатель мобильного телефона Dream CH119 (магнитный)</t>
  </si>
  <si>
    <t>УТ000031999</t>
  </si>
  <si>
    <t>Держатель мобильного телефона Dream CM20, магнитный, чёрный</t>
  </si>
  <si>
    <t>УТ000049271</t>
  </si>
  <si>
    <t>Держатель мобильного телефона Dream D2 (магнитный)</t>
  </si>
  <si>
    <t>УТ000049272</t>
  </si>
  <si>
    <t>Держатель мобильного телефона Dream D3 (магнитный)</t>
  </si>
  <si>
    <t>УТ000049574</t>
  </si>
  <si>
    <t>Держатель мобильного телефона Dream D4 (магнитный)</t>
  </si>
  <si>
    <t>УТ000049575</t>
  </si>
  <si>
    <t>Держатель мобильного телефона Dream D5 (магнитный)</t>
  </si>
  <si>
    <t>УТ000035166</t>
  </si>
  <si>
    <t>Держатель мобильного телефона Dream G157, магнитный</t>
  </si>
  <si>
    <t>УТ000034802</t>
  </si>
  <si>
    <t>Держатель мобильного телефона Dream G158, магнитный</t>
  </si>
  <si>
    <t>УТ000036067</t>
  </si>
  <si>
    <t>Держатель мобильного телефона Dream G160, магнитный</t>
  </si>
  <si>
    <t>УТ000035168</t>
  </si>
  <si>
    <t>Держатель мобильного телефона Dream JHD307</t>
  </si>
  <si>
    <t>УТ000046654</t>
  </si>
  <si>
    <t>Держатель мобильного телефона Dream JHD52 белый (магнитный)</t>
  </si>
  <si>
    <t>УТ000058689</t>
  </si>
  <si>
    <t>Держатель мобильного телефона Dream JHD52 чёрный (магнитный)</t>
  </si>
  <si>
    <t>УТ000046281</t>
  </si>
  <si>
    <t>Держатель мобильного телефона Dream KT-334, магнитный</t>
  </si>
  <si>
    <t>УТ000048043</t>
  </si>
  <si>
    <t>Держатель мобильного телефона Dream KT216 (магнитный)</t>
  </si>
  <si>
    <t>УТ000039819</t>
  </si>
  <si>
    <t>Держатель мобильного телефона Dream L103</t>
  </si>
  <si>
    <t>УТ000039821</t>
  </si>
  <si>
    <t>Держатель мобильного телефона Dream MG30 (магнитный)</t>
  </si>
  <si>
    <t>УТ000030481</t>
  </si>
  <si>
    <t>Держатель мобильного телефона Dream MM14 (магнитный)</t>
  </si>
  <si>
    <t>УТ000031536</t>
  </si>
  <si>
    <t>Держатель мобильного телефона Dream MM6 (магнитный)</t>
  </si>
  <si>
    <t>УТ000037358</t>
  </si>
  <si>
    <t>Держатель мобильного телефона Dream RD03 (магнитный)</t>
  </si>
  <si>
    <t>УТ000038531</t>
  </si>
  <si>
    <t>Держатель мобильного телефона Dream RD13, магнитный</t>
  </si>
  <si>
    <t>УТ000046286</t>
  </si>
  <si>
    <t>Держатель мобильного телефона Dream XP-344, магнитный</t>
  </si>
  <si>
    <t>УТ000046287</t>
  </si>
  <si>
    <t>Держатель мобильного телефона Dream XP-345, магнитный</t>
  </si>
  <si>
    <t>УТ000046652</t>
  </si>
  <si>
    <t>Держатель мобильного телефона Dream XP701 (магнитный)</t>
  </si>
  <si>
    <t>УТ000046656</t>
  </si>
  <si>
    <t>Держатель мобильного телефона Dream XP703 (магнитный)</t>
  </si>
  <si>
    <t>УТ000047182</t>
  </si>
  <si>
    <t>Держатель мобильного телефона Dream XP704 (магнитный)</t>
  </si>
  <si>
    <t>УТ000046657</t>
  </si>
  <si>
    <t>Держатель мобильного телефона Dream XP705 (магнитный)</t>
  </si>
  <si>
    <t>УТ000046658</t>
  </si>
  <si>
    <t>Держатель мобильного телефона Dream XP706 (магнитный)</t>
  </si>
  <si>
    <t>УТ000046653</t>
  </si>
  <si>
    <t>Держатель мобильного телефона Dream XP707 (магнитный)</t>
  </si>
  <si>
    <t>УТ000050232</t>
  </si>
  <si>
    <t>Держатель мобильного телефона Exployd EX-H-719, серебро</t>
  </si>
  <si>
    <t>УТ000057456</t>
  </si>
  <si>
    <t>Держатель мобильного телефона HOCO CA102, на вохдуховод, магнитный, чёрный</t>
  </si>
  <si>
    <t>УТ000055271</t>
  </si>
  <si>
    <t>Держатель мобильного телефона HOCO CA116, черный</t>
  </si>
  <si>
    <t>УТ000036123</t>
  </si>
  <si>
    <t>Держатель мобильного телефона HOCO CA36 Plus, магнитный, серебро</t>
  </si>
  <si>
    <t>УТ000030457</t>
  </si>
  <si>
    <t>Держатель мобильного телефона HOCO CA37 (молоток, нож) черный</t>
  </si>
  <si>
    <t>УТ000034107</t>
  </si>
  <si>
    <t>Держатель мобильного телефона HOCO CA46, серебро</t>
  </si>
  <si>
    <t>УТ000032487</t>
  </si>
  <si>
    <t>Держатель мобильного телефона HOCO CA46, черный</t>
  </si>
  <si>
    <t>УТ000032488</t>
  </si>
  <si>
    <t>Держатель мобильного телефона HOCO CA47, чёрный</t>
  </si>
  <si>
    <t>УТ000034231</t>
  </si>
  <si>
    <t>Держатель мобильного телефона HOCO CA52, магнитный</t>
  </si>
  <si>
    <t>УТ000039745</t>
  </si>
  <si>
    <t>Держатель мобильного телефона HOCO CA65, магнитный, черный</t>
  </si>
  <si>
    <t>УТ000045128</t>
  </si>
  <si>
    <t>Держатель мобильного телефона HOCO CA66, магнитный, черный</t>
  </si>
  <si>
    <t>УТ000039746</t>
  </si>
  <si>
    <t>Держатель мобильного телефона HOCO CA67 магнитный черный</t>
  </si>
  <si>
    <t>УТ000047641</t>
  </si>
  <si>
    <t>Держатель мобильного телефона HOCO CA74 магнитный черный-серебро</t>
  </si>
  <si>
    <t>УТ000051125</t>
  </si>
  <si>
    <t>Держатель мобильного телефона HOCO CA81, черный</t>
  </si>
  <si>
    <t>УТ000058774</t>
  </si>
  <si>
    <t>Держатель мобильного телефона HOCO H1, фиолетовый</t>
  </si>
  <si>
    <t>УТ000057457</t>
  </si>
  <si>
    <t>Держатель мобильного телефона HOCO H10, присоска, чёрный</t>
  </si>
  <si>
    <t>УТ000057459</t>
  </si>
  <si>
    <t>Держатель мобильного телефона HOCO H16, магнит, чёрный</t>
  </si>
  <si>
    <t>УТ000055285</t>
  </si>
  <si>
    <t>Держатель мобильного телефона HOCO H2, бирюзовый</t>
  </si>
  <si>
    <t>УТ000057460</t>
  </si>
  <si>
    <t>Держатель мобильного телефона HOCO H5, чёрный</t>
  </si>
  <si>
    <t>УТ000050229</t>
  </si>
  <si>
    <t>Держатель мобильного телефона HOCO S49, магнитный на торпеду</t>
  </si>
  <si>
    <t xml:space="preserve"> Держатели магнитные, пластины</t>
  </si>
  <si>
    <t>УТ000030494</t>
  </si>
  <si>
    <t>Набор пластин для магнитных держателей Dream CP2</t>
  </si>
  <si>
    <t>УТ000048651</t>
  </si>
  <si>
    <t>Набор пластин для магнитных держателей MF 2 в 1</t>
  </si>
  <si>
    <t xml:space="preserve"> Держатель на гибком креплении</t>
  </si>
  <si>
    <t>УТ000058603</t>
  </si>
  <si>
    <t>Держатель мобильного телефона  SX58</t>
  </si>
  <si>
    <t>00000003126</t>
  </si>
  <si>
    <t>Держатель мобильного телефона AVS AH-2081-XP</t>
  </si>
  <si>
    <t>00410055981</t>
  </si>
  <si>
    <t>Держатель мобильного телефона AVS AH-2081-ХР в блистере</t>
  </si>
  <si>
    <t>00000004081</t>
  </si>
  <si>
    <t>Держатель мобильного телефона AVS AH-2107-D</t>
  </si>
  <si>
    <t>00000003732</t>
  </si>
  <si>
    <t>Держатель мобильного телефона AVS AH-2116-D</t>
  </si>
  <si>
    <t>УТ000050225</t>
  </si>
  <si>
    <t>Держатель мобильного телефона Borofone BH18, магнитный, черный</t>
  </si>
  <si>
    <t>УТ000048103</t>
  </si>
  <si>
    <t>Держатель мобильного телефона Borofone BH54 Racer, пластик, торпедо, шарнир, двойной зажим, черный</t>
  </si>
  <si>
    <t>УТ000058693</t>
  </si>
  <si>
    <t>Держатель мобильного телефона Dream CH118 (магнитный)</t>
  </si>
  <si>
    <t>УТ000059286</t>
  </si>
  <si>
    <t>Держатель мобильного телефона Hoco CA99, чёрный</t>
  </si>
  <si>
    <t>УТ000058602</t>
  </si>
  <si>
    <t>Держатель мобильного телефона на гибком креплении SX62</t>
  </si>
  <si>
    <t xml:space="preserve"> Держатель на жестком креплении</t>
  </si>
  <si>
    <t>УТ000049953</t>
  </si>
  <si>
    <t>Держатель автомобильный Borofone BH60, пластик, торпедо, лобовое стекло, двойной зажим, для телефона 4.5-7", чёрный</t>
  </si>
  <si>
    <t>УТ000013175</t>
  </si>
  <si>
    <t>Держатель для смартфона Орбита Т-10/2000</t>
  </si>
  <si>
    <t>УТ000003713</t>
  </si>
  <si>
    <t>Держатель мобильного телефона AV-059</t>
  </si>
  <si>
    <t>УТ000019863</t>
  </si>
  <si>
    <t>Держатель мобильного телефона AVS AH-1704</t>
  </si>
  <si>
    <t>УТ000036716</t>
  </si>
  <si>
    <t>Держатель мобильного телефона AVS AH-1901</t>
  </si>
  <si>
    <t>УТ000011423</t>
  </si>
  <si>
    <t>Держатель мобильного телефона AVS AH-2224-BL Прищепка</t>
  </si>
  <si>
    <t>УТ000018393</t>
  </si>
  <si>
    <t>Держатель мобильного телефона AVS AH-2227BL Двойная прищепка в блистере</t>
  </si>
  <si>
    <t>УТ000011422</t>
  </si>
  <si>
    <t>Держатель мобильного телефона AVS AH-4955</t>
  </si>
  <si>
    <t>УТ000058784</t>
  </si>
  <si>
    <t>Держатель мобильного телефона Borofone BH38, черный</t>
  </si>
  <si>
    <t>УТ000059282</t>
  </si>
  <si>
    <t>Держатель мобильного телефона Borofone BH55</t>
  </si>
  <si>
    <t>УТ000050592</t>
  </si>
  <si>
    <t>Держатель мобильного телефона Borofone BH61, черный</t>
  </si>
  <si>
    <t>УТ000056778</t>
  </si>
  <si>
    <t>Держатель мобильного телефона Borofone BH82, магнитный, чёрный/голубой</t>
  </si>
  <si>
    <t>УТ000056782</t>
  </si>
  <si>
    <t>Держатель мобильного телефона Borofone BH85, магнитный, чёрный</t>
  </si>
  <si>
    <t>УТ000052852</t>
  </si>
  <si>
    <t>Держатель мобильного телефона Carlive SX47</t>
  </si>
  <si>
    <t>УТ000055807</t>
  </si>
  <si>
    <t>Держатель мобильного телефона Carlive SX67</t>
  </si>
  <si>
    <t>УТ000055809</t>
  </si>
  <si>
    <t>Держатель мобильного телефона Carlive SX69</t>
  </si>
  <si>
    <t>УТ000058688</t>
  </si>
  <si>
    <t>Держатель мобильного телефона CH114</t>
  </si>
  <si>
    <t>УТ000051345</t>
  </si>
  <si>
    <t>Держатель мобильного телефона Defender CH-226</t>
  </si>
  <si>
    <t>УТ000046651</t>
  </si>
  <si>
    <t>Держатель мобильного телефона Dream XP293</t>
  </si>
  <si>
    <t>УТ000050314</t>
  </si>
  <si>
    <t>Держатель мобильного телефона Dream XP702</t>
  </si>
  <si>
    <t>УТ000058980</t>
  </si>
  <si>
    <t>Держатель мобильного телефона HOCO CA108, на вохдуховод, стекло, торпеду, магнитный, чёрный</t>
  </si>
  <si>
    <t>УТ000059289</t>
  </si>
  <si>
    <t>Держатель мобильного телефона HOCO CA117, черный</t>
  </si>
  <si>
    <t>УТ000056055</t>
  </si>
  <si>
    <t>Держатель мобильного телефона HOCO CA120, чёрный</t>
  </si>
  <si>
    <t>УТ000047176</t>
  </si>
  <si>
    <t>Держатель мобильного телефона HOCO CA26, черный</t>
  </si>
  <si>
    <t>УТ000033979</t>
  </si>
  <si>
    <t>Держатель мобильного телефона HOCO CA31, черный</t>
  </si>
  <si>
    <t>УТ000030461</t>
  </si>
  <si>
    <t>Держатель мобильного телефона HOCO CA40, черный</t>
  </si>
  <si>
    <t>УТ000044313</t>
  </si>
  <si>
    <t>Держатель мобильного телефона Hoco CA51, черный</t>
  </si>
  <si>
    <t>УТ000057967</t>
  </si>
  <si>
    <t>Держатель мобильного телефона HOCO CA76, чёрный</t>
  </si>
  <si>
    <t>УТ000057968</t>
  </si>
  <si>
    <t>Держатель мобильного телефона HOCO CA95, чёрный</t>
  </si>
  <si>
    <t>УТ000055288</t>
  </si>
  <si>
    <t>Держатель мобильного телефона HOCO H3, черный</t>
  </si>
  <si>
    <t>УТ000052851</t>
  </si>
  <si>
    <t>Держатель мобильного телефона MR-X1 на жестком креплении, красный</t>
  </si>
  <si>
    <t>УТ000059287</t>
  </si>
  <si>
    <t>Держатель мобильного телефона с беспроводной зарядкой Hoco CA60 чёрный</t>
  </si>
  <si>
    <t>УТ000059288</t>
  </si>
  <si>
    <t>Держатель мобильного телефона с беспроводной зарядкой Hoco HW3 чёрный</t>
  </si>
  <si>
    <t>УТ000052833</t>
  </si>
  <si>
    <t>Держатель планшета универсальный ZYZ-139 на жестком креплении</t>
  </si>
  <si>
    <t xml:space="preserve"> Накидки на сиденье</t>
  </si>
  <si>
    <t>УТ000054816</t>
  </si>
  <si>
    <t>Накидка на сиденье с подогревом велюр чёрная</t>
  </si>
  <si>
    <t>00410056633</t>
  </si>
  <si>
    <t>Накидка на сиденье с функцией обогрева AVS HC-167</t>
  </si>
  <si>
    <t>УТ000028145</t>
  </si>
  <si>
    <t>Накидка на сиденье с функцией обогрева AVS HC-180</t>
  </si>
  <si>
    <t>УТ000054830</t>
  </si>
  <si>
    <t>Органайзер-защита на спину сиденья Stvol SRG01 с карманом</t>
  </si>
  <si>
    <t xml:space="preserve"> Органайзеры пространства</t>
  </si>
  <si>
    <t>УТ000048047</t>
  </si>
  <si>
    <t>Подставка для телефона и планшета (8смХ4см)</t>
  </si>
  <si>
    <t xml:space="preserve"> Противоскользящие коврики</t>
  </si>
  <si>
    <t>УТ000047859</t>
  </si>
  <si>
    <t>Противоскользящий коврик (подставка) Dream SN3, черный</t>
  </si>
  <si>
    <t>00000003123</t>
  </si>
  <si>
    <t>Противоскользящий коврик на приборную панель  AVS 113A 19*22см</t>
  </si>
  <si>
    <t>00400051890</t>
  </si>
  <si>
    <t>Противоскользящий коврик на приборную панель  AVS 114L 56*29см</t>
  </si>
  <si>
    <t>00410055243</t>
  </si>
  <si>
    <t>Противоскользящий коврик на приборную панель AVS NANO NP-002 15*9см черный</t>
  </si>
  <si>
    <t>00410055245</t>
  </si>
  <si>
    <t>Противоскользящий коврик на приборную панель AVS NANO NP-008 14,5*8,5см</t>
  </si>
  <si>
    <t>00410055246</t>
  </si>
  <si>
    <t>Противоскользящий коврик на приборную панель AVS NANO NP-009 14*8см</t>
  </si>
  <si>
    <t>00410055248</t>
  </si>
  <si>
    <t>Противоскользящий коврик на приборную панель AVS NANO NP-018 14,5*18,5см</t>
  </si>
  <si>
    <t xml:space="preserve"> Прочее</t>
  </si>
  <si>
    <t>УТ000054710</t>
  </si>
  <si>
    <t>Набор для ремонта безкамерных шин с клеем, 8 предметов на блистере , синий</t>
  </si>
  <si>
    <t xml:space="preserve"> Тросы буксировочные, стяжки для груза</t>
  </si>
  <si>
    <t>00410056766</t>
  </si>
  <si>
    <t>Трос буксировочный  3,5т, 4,5м, канат, 2 крюка, пакет A-TOL ТРПЛ039</t>
  </si>
  <si>
    <t>УТ000056872</t>
  </si>
  <si>
    <t>Трос буксировочный  3,5т, 4,5м, петли, сумка на молнии A--TOL</t>
  </si>
  <si>
    <t>УТ000015663</t>
  </si>
  <si>
    <t>Трос буксировочный  3т желтый</t>
  </si>
  <si>
    <t>00410058003</t>
  </si>
  <si>
    <t>Трос буксировочный  5т, 4,5м, канат, 2 крюка, пакет A--TOL ТРВ002</t>
  </si>
  <si>
    <t>УТ000056868</t>
  </si>
  <si>
    <t>Трос буксировочный  5т, 4,5м, канат, плетёный, 2 крюка, сумка на молнии A--TOL</t>
  </si>
  <si>
    <t>УТ000056873</t>
  </si>
  <si>
    <t>Трос буксировочный  6т, 4,5м, петли, пакет A-TOL</t>
  </si>
  <si>
    <t>УТ000058743</t>
  </si>
  <si>
    <t>Трос буксировочный  7т, 4,5м, 2 крюка, сумка на молнии A--TOL</t>
  </si>
  <si>
    <t>УТ000037563</t>
  </si>
  <si>
    <t>Трос буксировочный  7т, 4,5м, канат, 2 крюка, пакет A--TOL ТРПЛ041</t>
  </si>
  <si>
    <t>УТ000056869</t>
  </si>
  <si>
    <t>Трос буксировочный  7т, 4,5м, канат, плетёный, 2 крюка, сумка на молнии A--TOL</t>
  </si>
  <si>
    <t>УТ000058066</t>
  </si>
  <si>
    <t>Трос буксировочный 2000кг, 4м*6мм, Emergency Tow Rope</t>
  </si>
  <si>
    <t>УТ000058067</t>
  </si>
  <si>
    <t>Трос буксировочный 3000кг, 4м*8мм, Emergency Tow Rope</t>
  </si>
  <si>
    <t>УТ000058162</t>
  </si>
  <si>
    <t>Трос буксировочный 5000кг, 4м*10мм, Emergency Tow Rope</t>
  </si>
  <si>
    <t>УТ000030825</t>
  </si>
  <si>
    <t>Трос буксировочный 8т, 5м, синий</t>
  </si>
  <si>
    <t xml:space="preserve"> Автомобильные лампы</t>
  </si>
  <si>
    <t xml:space="preserve"> Автолампы галогенные</t>
  </si>
  <si>
    <t>УТ000010393</t>
  </si>
  <si>
    <t>Лампа галогенная OSRAM H1 12-55 Германия</t>
  </si>
  <si>
    <t>УТ000010394</t>
  </si>
  <si>
    <t>Лампа галогенная OSRAM H1 12-55+30% ALLSEASON SUPER (всепогодный) Германия</t>
  </si>
  <si>
    <t>УТ000010390</t>
  </si>
  <si>
    <t>Лампа галогенная OSRAM H4 -12-60/55 Германия 64193</t>
  </si>
  <si>
    <t>УТ000020302</t>
  </si>
  <si>
    <t>Лампа галогенная OSRAM H4 -12-60/55+100% COOL BLUE INTENSE Next</t>
  </si>
  <si>
    <t>УТ000010386</t>
  </si>
  <si>
    <t>Лампа галогенная OSRAM H4 -12-60/55+30% ALLSEASON SUPER (всепогодный) Германия 64193ALS</t>
  </si>
  <si>
    <t>УТ000022421</t>
  </si>
  <si>
    <t>Лампа галогенная OSRAM H7-12-55 Ultra Life (3-х кратный ресурс) 2шт Евро-бокс 61210ULT2</t>
  </si>
  <si>
    <t>УТ000001615</t>
  </si>
  <si>
    <t>Лампа галогенная Маяк H1 12V 55W</t>
  </si>
  <si>
    <t>УТ000001614</t>
  </si>
  <si>
    <t>Лампа галогенная Маяк H3 12V 55W ярко-белая</t>
  </si>
  <si>
    <t>УТ000000420</t>
  </si>
  <si>
    <t>Лампа галогенная Маяк H7 12V 55W</t>
  </si>
  <si>
    <t>УТ000000421</t>
  </si>
  <si>
    <t>Лампа галогенная Маяк H7 12V 55W ярко-белая</t>
  </si>
  <si>
    <t>УТ000000422</t>
  </si>
  <si>
    <t>Лампа галогенная Маяк H7 12V 55W+30% супер яркая</t>
  </si>
  <si>
    <t xml:space="preserve"> Автолампы ксенон</t>
  </si>
  <si>
    <t>УТ000010031</t>
  </si>
  <si>
    <t>Блок розжига OmegaLight Slim 1шт. 9-16V/35W</t>
  </si>
  <si>
    <t xml:space="preserve"> Автолампы накаливания</t>
  </si>
  <si>
    <t>00410058077</t>
  </si>
  <si>
    <t>Лампа накаливания Маяк 12V 3W 2,1х9,5d без цоколя 61203Бц</t>
  </si>
  <si>
    <t xml:space="preserve"> Автолампы светодиодные</t>
  </si>
  <si>
    <t xml:space="preserve"> Лампы для фар</t>
  </si>
  <si>
    <t>УТ000059167</t>
  </si>
  <si>
    <t>Автолампа-светодиодная C6-MINI-Н4 2LED, DC 9-32В, 6500К, с конд-ом (silver)  ENERGY LIGHT 2шт.</t>
  </si>
  <si>
    <t>УТ000057818</t>
  </si>
  <si>
    <t>Автолампа-светодиодная V6-H7, 2LED, DC 9-32В, 6500К, с вент-ом (black)  ENERGY LIGHT 2шт.</t>
  </si>
  <si>
    <t xml:space="preserve"> Лампы под винтовой цоколь E10</t>
  </si>
  <si>
    <t>00410056985</t>
  </si>
  <si>
    <t>Автолампа-светодиодная E10-1LED (inverted) (желтый)</t>
  </si>
  <si>
    <t xml:space="preserve"> Лампы под цоколь Т10 (W2.1x9.5d) (Панель приборов, номер, поворот, габариты)</t>
  </si>
  <si>
    <t>УТ000042334</t>
  </si>
  <si>
    <t>Автолампа-светодиодная Т10 (W2.1x9.5d) 2SMD COB силикон, белый</t>
  </si>
  <si>
    <t>УТ000055239</t>
  </si>
  <si>
    <t>Автолампы габаритные X0008, 12В/О,66Вт  T10 (W5W) (10)</t>
  </si>
  <si>
    <t>УТ000055246</t>
  </si>
  <si>
    <t>Автолампы габаритные X0018, 12В, 2,2Вт, автополярность, сопротивление  T10 (W5W) (10)</t>
  </si>
  <si>
    <t xml:space="preserve"> Светодиодные панели</t>
  </si>
  <si>
    <t>00410052736</t>
  </si>
  <si>
    <t>Светодиодная панель AVS 12SMD 3528 красный</t>
  </si>
  <si>
    <t xml:space="preserve"> Автомобильные приборы диагностики</t>
  </si>
  <si>
    <t xml:space="preserve"> Алкотестеры</t>
  </si>
  <si>
    <t>УТ000047486</t>
  </si>
  <si>
    <t>Алкотестер Garin DAT-2</t>
  </si>
  <si>
    <t xml:space="preserve"> Бортовые компьютеры, авточасы</t>
  </si>
  <si>
    <t>УТ000048526</t>
  </si>
  <si>
    <t>Термометр автомобильный, аналоговый, -30С/60СС</t>
  </si>
  <si>
    <t>УТ000002904</t>
  </si>
  <si>
    <t>Часы VST7009V-5 электр.авто (температура, будильник, вольтметр)</t>
  </si>
  <si>
    <t>УТ000020046</t>
  </si>
  <si>
    <t>Часы VST7013V электр.авто (температура, будильник, вольтметр)</t>
  </si>
  <si>
    <t>УТ000055590</t>
  </si>
  <si>
    <t>Часы автомобильные OT-CLC01, температура</t>
  </si>
  <si>
    <t>УТ000055591</t>
  </si>
  <si>
    <t>Часы автомобильные OT-CLC03, белые</t>
  </si>
  <si>
    <t>УТ000055593</t>
  </si>
  <si>
    <t>Часы автомобильные врезные, зеленые</t>
  </si>
  <si>
    <t>УТ000055594</t>
  </si>
  <si>
    <t>Часы автомобильные врезные, красные</t>
  </si>
  <si>
    <t xml:space="preserve"> Манометры</t>
  </si>
  <si>
    <t>УТ000056565</t>
  </si>
  <si>
    <t>Диагностический автосканер, модуль OBD TS-CAA67, OBD2, v.1.5 Wi-Fi</t>
  </si>
  <si>
    <t xml:space="preserve"> Сканеры, автотестеры</t>
  </si>
  <si>
    <t>УТ000059432</t>
  </si>
  <si>
    <t>Вольтметр в прикуриватель 12-24В</t>
  </si>
  <si>
    <t>УТ000024084</t>
  </si>
  <si>
    <t>Диагностический автосканер, модуль OBD HH ELM327 Advanced, Bluetooth, версия v.1.5</t>
  </si>
  <si>
    <t>УТ000053984</t>
  </si>
  <si>
    <t>Диагностический автосканер, модуль OBD TS-CAA63, OBD2, v.1.5 Wi -Fi</t>
  </si>
  <si>
    <t>УТ000053985</t>
  </si>
  <si>
    <t>Диагностический автосканер, модуль OBD TS-CAA64, OBD2, v.1.5 Wi -Fi</t>
  </si>
  <si>
    <t>УТ000057684</t>
  </si>
  <si>
    <t>Тестер автомобильный, звуковой сигнал, светодиоды 6В, 12В, 24B DT-252</t>
  </si>
  <si>
    <t>УТ000053756</t>
  </si>
  <si>
    <t>Тестер автомобильный, индикаторная лампа, металл 6В, 12В, 24B DT-250</t>
  </si>
  <si>
    <t>УТ000029718</t>
  </si>
  <si>
    <t>Шнур питания авто microUSB Орбита AV-1041 (3м.2,1А.OBD)</t>
  </si>
  <si>
    <t xml:space="preserve"> Толщиномеры</t>
  </si>
  <si>
    <t>УТ000043098</t>
  </si>
  <si>
    <t>Толщиномер Yunombo YNB-100</t>
  </si>
  <si>
    <t xml:space="preserve"> Автосвет</t>
  </si>
  <si>
    <t xml:space="preserve"> Автомобильные переносные светильники</t>
  </si>
  <si>
    <t>УТ000057422</t>
  </si>
  <si>
    <t>Светильник переносной сетевой  5м 220В 60Вт Е27 "MASTER"</t>
  </si>
  <si>
    <t>УТ000008533</t>
  </si>
  <si>
    <t>Светильник переносной сетевой  5м 220В 60Вт Е27 Джетт</t>
  </si>
  <si>
    <t>УТ000057089</t>
  </si>
  <si>
    <t>Светильник переносной сетевой  5м 220Вт, цоколь Е27, с проводом (SBF-05-E27)</t>
  </si>
  <si>
    <t>УТ000057088</t>
  </si>
  <si>
    <t>Светильник переносной сетевой 10м 220Вт, цоколь Е27, с проводом (SBF-10-E27)</t>
  </si>
  <si>
    <t>УТ000008534</t>
  </si>
  <si>
    <t>Светильник переносной сетевой 15м 220В 60Вт Е27 Джетт</t>
  </si>
  <si>
    <t xml:space="preserve"> Дневные ходовые огни</t>
  </si>
  <si>
    <t>УТ000055876</t>
  </si>
  <si>
    <t>Дневные ходовые огни, Eagle Eye Орлиный глаз 18мм, Led COB, монтажный паз, комплект 2шт</t>
  </si>
  <si>
    <t>УТ000055875</t>
  </si>
  <si>
    <t>Дневные ходовые огни, Eagle Eye Орлиный глаз 23мм, Led 3SMD, монтажный паз, комплект 2шт</t>
  </si>
  <si>
    <t>УТ000055877</t>
  </si>
  <si>
    <t>Дневные ходовые огни, Eagle Eye Орлиный глаз 23мм, Led COB, комплект 2шт</t>
  </si>
  <si>
    <t>УТ000055878</t>
  </si>
  <si>
    <t>Дневные ходовые огни, Eagle Eye Орлиный глаз 23мм, Led COB, монтажный паз, комплект 2шт</t>
  </si>
  <si>
    <t xml:space="preserve"> Фары Off-road</t>
  </si>
  <si>
    <t>УТ000035938</t>
  </si>
  <si>
    <t>Фара светодиодная Off-Road  9LED, 27W, 12/24V, ближний свет, WL-132F</t>
  </si>
  <si>
    <t xml:space="preserve"> Автоэлектрика</t>
  </si>
  <si>
    <t xml:space="preserve"> Встраиваемые авто модули</t>
  </si>
  <si>
    <t>УТ000047144</t>
  </si>
  <si>
    <t>Вольтметр в авто, врезной 12V-24V, круглый</t>
  </si>
  <si>
    <t>УТ000047143</t>
  </si>
  <si>
    <t>Вольтметр в авто, врезной 12V-24V, круглый, красное свечение EMAV-03</t>
  </si>
  <si>
    <t>УТ000058473</t>
  </si>
  <si>
    <t>Вольтметр в авто, врезной 12V-24V, круглый, синее свечение EMAV-04</t>
  </si>
  <si>
    <t>УТ000049224</t>
  </si>
  <si>
    <t>Встраиваемый авто модуль с USB портом 2 х USB 2,1A+1A , круглый</t>
  </si>
  <si>
    <t>УТ000046239</t>
  </si>
  <si>
    <t>Встраиваемый авто модуль с USB портом 2 х USB 2,1A+1A, вольтметр, круглый</t>
  </si>
  <si>
    <t>УТ000046241</t>
  </si>
  <si>
    <t>УТ000043019</t>
  </si>
  <si>
    <t>Встраиваемый авто модуль с USB портом 2 х USB 2,1A+1A, круглый</t>
  </si>
  <si>
    <t>УТ000055133</t>
  </si>
  <si>
    <t>Встраиваемый авто модуль с USB портом USB + PD, вольтметр, прямоугольный</t>
  </si>
  <si>
    <t>УТ000057503</t>
  </si>
  <si>
    <t>Встраиваемый выключатель, тумблер в авто 12-24В EMAV-012, зеленый индикатор (5)</t>
  </si>
  <si>
    <t>УТ000054310</t>
  </si>
  <si>
    <t>Встраиваемый выключатель, тумблер в авто 12-24В EMAV-012, красный индикатор (5)</t>
  </si>
  <si>
    <t>УТ000057504</t>
  </si>
  <si>
    <t>Встраиваемый выключатель, тумблер в авто 12-24В EMAV-012, синий индикатор (5)</t>
  </si>
  <si>
    <t>УТ000054281</t>
  </si>
  <si>
    <t>Разъем USB в авто, врезной (2USB, 4.2A, 12V-24V) круглый</t>
  </si>
  <si>
    <t>УТ000054473</t>
  </si>
  <si>
    <t>Разъем USB в авто, врезной, быстрая зарядка 1USB, PD, QC3.0, 12V-24V, вольтметр, круглый</t>
  </si>
  <si>
    <t>УТ000055134</t>
  </si>
  <si>
    <t>УТ000054469</t>
  </si>
  <si>
    <t>Разъем USB в авто, врезной, быстрая зарядка 1USB, PD, QC3.0, 12V-24V, круглый</t>
  </si>
  <si>
    <t>УТ000054468</t>
  </si>
  <si>
    <t>Разъем USB в авто, врезной, быстрая зарядка 2USB, QC3.0, 12V-24V круглый</t>
  </si>
  <si>
    <t>УТ000054349</t>
  </si>
  <si>
    <t>Разъем USB в автомобиль, понижающий преобразователь с 12В на 5В 3А EMAV-011</t>
  </si>
  <si>
    <t>УТ000055559</t>
  </si>
  <si>
    <t>Разъемы USB*2 в автомобиль, понижающий преобразователь с 12В на 5В 3А EMAV-0112</t>
  </si>
  <si>
    <t xml:space="preserve"> Предохранители автомобильные, держатели предохранителя</t>
  </si>
  <si>
    <t xml:space="preserve"> Держатели предохранителя</t>
  </si>
  <si>
    <t>УТ000049177</t>
  </si>
  <si>
    <t>Держатель предохранителя а/м Unival со шнуром 4,0мм², 6AWG</t>
  </si>
  <si>
    <t>УТ000048298</t>
  </si>
  <si>
    <t>Держатель предохранителя а/м Unival со шнуром, горизонтального соединения</t>
  </si>
  <si>
    <t>УТ000058012</t>
  </si>
  <si>
    <t>Держатель предохранителя, предохранитель  5А мини,  шнур 0,30 м, 0,75 кв.мм (18AWG), комплект</t>
  </si>
  <si>
    <t>УТ000055201</t>
  </si>
  <si>
    <t>Держатель предохранителя, предохранитель 10А мини, шнур 0,30 м, 1,25 кв.мм (16AWG), комплект</t>
  </si>
  <si>
    <t>УТ000055202</t>
  </si>
  <si>
    <t>Держатель предохранителя, предохранитель 15А мини, шнур 0,30 м, 2,00 кв.мм (14AWG), комплект</t>
  </si>
  <si>
    <t>УТ000055203</t>
  </si>
  <si>
    <t>Держатель предохранителя, предохранитель 20А мини, шнур 0,30 м, 2,00 кв.мм (14AWG), комплект</t>
  </si>
  <si>
    <t>УТ000055204</t>
  </si>
  <si>
    <t>Держатель предохранителя, предохранитель 30А мини, шнур 0,30 м, 3,40 кв.мм (12AWG), комплект</t>
  </si>
  <si>
    <t>УТ000056806</t>
  </si>
  <si>
    <t>Предохранитель флажковый мини 10А, с отводом 140мм</t>
  </si>
  <si>
    <t>УТ000056807</t>
  </si>
  <si>
    <t>Предохранитель флажковый мини 15А, с отводом 140мм</t>
  </si>
  <si>
    <t>УТ000056808</t>
  </si>
  <si>
    <t>Предохранитель флажковый мини 20А, с отводом 140мм</t>
  </si>
  <si>
    <t>УТ000056809</t>
  </si>
  <si>
    <t>Предохранитель флажковый стандарт 10А, с отводом 140мм</t>
  </si>
  <si>
    <t>УТ000056810</t>
  </si>
  <si>
    <t>Предохранитель флажковый стандарт 15А, с отводом 140мм</t>
  </si>
  <si>
    <t>УТ000056811</t>
  </si>
  <si>
    <t>Предохранитель флажковый стандарт 20А, с отводом 140мм</t>
  </si>
  <si>
    <t xml:space="preserve"> Наборы предохранителей</t>
  </si>
  <si>
    <t>УТ000001328</t>
  </si>
  <si>
    <t>Набор а/м предохранителей AVS FC-229 цилиндрические</t>
  </si>
  <si>
    <t>УТ000054081</t>
  </si>
  <si>
    <t>Набор предохранителей флажковых "МИНИ" + индикаторная отвертка</t>
  </si>
  <si>
    <t xml:space="preserve"> Разъемы автомобильные</t>
  </si>
  <si>
    <t xml:space="preserve"> Разьемы прикуривателя</t>
  </si>
  <si>
    <t>УТ000051386</t>
  </si>
  <si>
    <t>Гнездо автомобильного прикуривателя, с проводом 2*1.0мм, 0.3м</t>
  </si>
  <si>
    <t>УТ000058474</t>
  </si>
  <si>
    <t>Гнездо автомобильного прикуривателя, с проводом 2*1.0мм, 0.3м, кольцевые наконечники</t>
  </si>
  <si>
    <t>УТ000058576</t>
  </si>
  <si>
    <t>Гнездо прикуривателя - гнездо питания 5,5х2,5мм, 350мм</t>
  </si>
  <si>
    <t>УТ000047560</t>
  </si>
  <si>
    <t>Гнездо прикуривателя авто на кабель (10)</t>
  </si>
  <si>
    <t>УТ000054282</t>
  </si>
  <si>
    <t>Гнездо прикуривателя авто на корпус с крышкой</t>
  </si>
  <si>
    <t>УТ000006403</t>
  </si>
  <si>
    <t>УТ000042267</t>
  </si>
  <si>
    <t>Гнездо прикуривателя авто на корпус с крышкой, с гайкой</t>
  </si>
  <si>
    <t>УТ000055049</t>
  </si>
  <si>
    <t>Гнездо прикуривателя авто на корпус с крышкой, с гайкой и монтажной планкой</t>
  </si>
  <si>
    <t>УТ000043023</t>
  </si>
  <si>
    <t>Гнездо прикуривателя авто на корпус, зеленая подсветка</t>
  </si>
  <si>
    <t>УТ000043024</t>
  </si>
  <si>
    <t>Гнездо прикуривателя авто на корпус, красная подсветка</t>
  </si>
  <si>
    <t>УТ000048806</t>
  </si>
  <si>
    <t>Гнездо прикуривателя авто на корпус, синяя подсветка</t>
  </si>
  <si>
    <t>УТ000043022</t>
  </si>
  <si>
    <t>УТ000053646</t>
  </si>
  <si>
    <t>Гнездо прикуривателя герметинчое, с крышкой, провод 1м, 1.5 кв. мм. 12В/24В</t>
  </si>
  <si>
    <t>УТ000053643</t>
  </si>
  <si>
    <t>Гнездо прикуривателя на корпус металл</t>
  </si>
  <si>
    <t>УТ000058577</t>
  </si>
  <si>
    <t>Гнездо прикуривателя на корпус металл, гайка</t>
  </si>
  <si>
    <t>УТ000056829</t>
  </si>
  <si>
    <t>Гнездо прикуривателя на корпус с крышкой, металл, с предохранителем 10А, провод 1м,  1 кв. мм. 12В/24В</t>
  </si>
  <si>
    <t>УТ000054309</t>
  </si>
  <si>
    <t>Гнездо прикуривателя на корпус с крышкой, с предохранителем 10А, провод 1м,  1 кв. мм. 12В/24В</t>
  </si>
  <si>
    <t>УТ000047867</t>
  </si>
  <si>
    <t>Штекер прикуривателя авто ЕВРО, крепление провода на винт</t>
  </si>
  <si>
    <t>УТ000056843</t>
  </si>
  <si>
    <t>Штекер прикуривателя авто ЕВРО, крепление провода на винт, с кембриком</t>
  </si>
  <si>
    <t>УТ000055050</t>
  </si>
  <si>
    <t>Штекер прикуривателя авто с кнопкой, индикатор включения, предохранитель 3A (с кембриком)</t>
  </si>
  <si>
    <t>00410052093</t>
  </si>
  <si>
    <t>Штекер прикуривателя авто, без индикатора, без предохранителя</t>
  </si>
  <si>
    <t>УТ000001934</t>
  </si>
  <si>
    <t>Штекер прикуривателя авто, без предохранителя, карболит</t>
  </si>
  <si>
    <t>УТ000047559</t>
  </si>
  <si>
    <t>Штекер прикуривателя авто, индикатор включения, предохранитель 10А CN-4041 (10)</t>
  </si>
  <si>
    <t>УТ000053647</t>
  </si>
  <si>
    <t>Штекер прикуривателя авто, индикатор включения, предохранитель 20А, бакелит (5) +</t>
  </si>
  <si>
    <t xml:space="preserve"> Сигналы автомобильные</t>
  </si>
  <si>
    <t>УТ000052573</t>
  </si>
  <si>
    <t>Звуковой сигнал заднего хода (12V/24V) (110+3dB)</t>
  </si>
  <si>
    <t xml:space="preserve"> Средства по уходу за автомобилем</t>
  </si>
  <si>
    <t xml:space="preserve"> Зимний ассортимент</t>
  </si>
  <si>
    <t>УТ000056891</t>
  </si>
  <si>
    <t>Щетка для снега со скребком 63,5см зелёная</t>
  </si>
  <si>
    <t>00410051278</t>
  </si>
  <si>
    <t>Щётка-скребок AVS Washer 6316 (малая, 44,5см)</t>
  </si>
  <si>
    <t>00410057156</t>
  </si>
  <si>
    <t>Щётка-скребок AVS Washer 6318 (большая, 62см)</t>
  </si>
  <si>
    <t>УТ000019881</t>
  </si>
  <si>
    <t>Щётка-скребок AVS Washer 6328 (средняя, 52см)</t>
  </si>
  <si>
    <t xml:space="preserve"> Микрофибра, гупки, салфетки</t>
  </si>
  <si>
    <t>00000004079</t>
  </si>
  <si>
    <t>Искусственная замша в тубусе  AVS CH-6443 (64*43см) (12)</t>
  </si>
  <si>
    <t>УТ000006976</t>
  </si>
  <si>
    <t>Микрофибра AVS MF-6023 (35*40см)</t>
  </si>
  <si>
    <t>УТ000023484</t>
  </si>
  <si>
    <t>Микрофибра AVS MFN-6103 экстраплотная (35*40см)</t>
  </si>
  <si>
    <t>УТ000023485</t>
  </si>
  <si>
    <t>Микрофибра AVS MFN-6104 экстраплотная (35*40см)</t>
  </si>
  <si>
    <t>УТ000015930</t>
  </si>
  <si>
    <t>Микрофибра AVS MFN-6106 (особое плетение) 35х40см</t>
  </si>
  <si>
    <t>УТ000015932</t>
  </si>
  <si>
    <t>Микрофибра AVS MFN-6114 (35х40см)</t>
  </si>
  <si>
    <t>УТ000048798</t>
  </si>
  <si>
    <t>Микрофибра AVS MFN-6120 (30х30см) упак.10шт</t>
  </si>
  <si>
    <t>УТ000023486</t>
  </si>
  <si>
    <t>Микрофибра AVS MFN-6131 экстраплотная (35*40см)</t>
  </si>
  <si>
    <t>УТ000015931</t>
  </si>
  <si>
    <t>Салфетка микрофибра c абразивной сеткой 35х40см MFN6109</t>
  </si>
  <si>
    <t>УТ000015933</t>
  </si>
  <si>
    <t>Салфетка микрофибра с ультратонкими волокнами 35х40см MFN6115</t>
  </si>
  <si>
    <t xml:space="preserve"> Аксессуары для компьютеров и ноутбуков</t>
  </si>
  <si>
    <t xml:space="preserve"> WI-FI адаптеры, роутеры, модемы</t>
  </si>
  <si>
    <t xml:space="preserve"> Адаптеры, приемники WI-FI сигнала</t>
  </si>
  <si>
    <t xml:space="preserve"> Адаптеры WI-FI 150Mbps</t>
  </si>
  <si>
    <t>УТ000056644</t>
  </si>
  <si>
    <t>Bluetooth + Wi-Fi адаптер USB, (v4.0 + 2.4ГГц 150Мбит) OT-PCB19</t>
  </si>
  <si>
    <t>УТ000053948</t>
  </si>
  <si>
    <t>Адаптер WI-FI + Bluetooth Dream W6 (Bluetooth 4.2, 150 MB/S)</t>
  </si>
  <si>
    <t>УТ000047206</t>
  </si>
  <si>
    <t>Адаптер WI-FI Dream (150Mb/s) v.2</t>
  </si>
  <si>
    <t>УТ000040683</t>
  </si>
  <si>
    <t>Адаптер WI-FI Dream (150Mbps)</t>
  </si>
  <si>
    <t>УТ000036410</t>
  </si>
  <si>
    <t>Адаптер Wi-Fi Dream W01 (150Mb/s) 175024</t>
  </si>
  <si>
    <t>УТ000052916</t>
  </si>
  <si>
    <t>Адаптер WI-FI W15 USB 2.0</t>
  </si>
  <si>
    <t>УТ000052917</t>
  </si>
  <si>
    <t>Адаптер WI-FI W16 USB 2.0</t>
  </si>
  <si>
    <t>УТ000018199</t>
  </si>
  <si>
    <t>Адаптер WI-FI WD-308 (150Mbps)</t>
  </si>
  <si>
    <t>УТ000053945</t>
  </si>
  <si>
    <t>Адаптер Wi-Fi с антенной Dream UW08 (150Mb/s)</t>
  </si>
  <si>
    <t xml:space="preserve"> Адаптеры WI-FI 300Mbps</t>
  </si>
  <si>
    <t>УТ000044137</t>
  </si>
  <si>
    <t>Адаптер WI-FI Dream (300Mbps) B3505 (RTL8192)</t>
  </si>
  <si>
    <t>УТ000020015</t>
  </si>
  <si>
    <t>Адаптер WI-FI WD-310 (300Mbps) OT-PCK03</t>
  </si>
  <si>
    <t xml:space="preserve"> Антенны для Wi-Fi роутеров и модемов</t>
  </si>
  <si>
    <t>УТ000055180</t>
  </si>
  <si>
    <t>Антенна для Wi-Fi роутеров всенаправленная, усиление 7дБи, длина 270мм, 7DB SMA RP</t>
  </si>
  <si>
    <t>УТ000055179</t>
  </si>
  <si>
    <t>Антенна для Wi-Fi роутеров всенаправленная, усиление 9дБи, длина 378мм</t>
  </si>
  <si>
    <t>УТ000048695</t>
  </si>
  <si>
    <t>Антенна для Wi-Fi роутеров, внешняя на основании, кабель 3м, усиление 2 дБи, длина 110мм SMA-P</t>
  </si>
  <si>
    <t xml:space="preserve"> Сетевые карты, адаптеры подключения интернет кабеля</t>
  </si>
  <si>
    <t>УТ000047599</t>
  </si>
  <si>
    <t>Внешняя сетевая карта USB - RG45 (LAN), H47</t>
  </si>
  <si>
    <t>УТ000051712</t>
  </si>
  <si>
    <t>Внешняя сетевая карта USB - RG45 (LAN), H48</t>
  </si>
  <si>
    <t>УТ000050747</t>
  </si>
  <si>
    <t>Переходник RG45 гнездо - RG45 гнездо</t>
  </si>
  <si>
    <t>УТ000051715</t>
  </si>
  <si>
    <t>Переходник USB по витой паре 1M/1F, H59</t>
  </si>
  <si>
    <t>УТ000051716</t>
  </si>
  <si>
    <t>Переходник USB по витой паре 1M/2F, H60</t>
  </si>
  <si>
    <t>УТ000050746</t>
  </si>
  <si>
    <t>Переходник USB штекер - LAN (RG45) гнездо</t>
  </si>
  <si>
    <t>УТ000055884</t>
  </si>
  <si>
    <t>Переходник для патч-корда 8p8c H148 гнездо - 2 гнезда, разветвитель</t>
  </si>
  <si>
    <t>00410057990</t>
  </si>
  <si>
    <t>Переходник для патч-корда 8p8c гнездо - 2 гнезда, разветвитель</t>
  </si>
  <si>
    <t>УТ000050364</t>
  </si>
  <si>
    <t>Разветвитель для интернет кабеля RJ45 1F/2F, 8p8c FTP 5e LAN ( работают только в паре )</t>
  </si>
  <si>
    <t>00400048513</t>
  </si>
  <si>
    <t>Разветвитель для интернет кабеля RJ45 1M/2F, 8p8c FTP 5e LAN ( работают только в паре )</t>
  </si>
  <si>
    <t xml:space="preserve"> Аксессуары для ноутбуков</t>
  </si>
  <si>
    <t xml:space="preserve"> Блоки питания для ноутбуков и планшетов</t>
  </si>
  <si>
    <t>УТ000021009</t>
  </si>
  <si>
    <t>Адаптер питания для ноутбука 15,0V/3,50A, штекер 4,74*1,7мм COMPAQ</t>
  </si>
  <si>
    <t>УТ000026033</t>
  </si>
  <si>
    <t>Адаптер питания для ноутбука 15,0V/6,00A, штекер 6,3*3,0мм TOSHIBA LP-603</t>
  </si>
  <si>
    <t>УТ000027929</t>
  </si>
  <si>
    <t>Адаптер питания для ноутбука 18,5V/2,70A, штекер 4,74*1,7мм COMPAQ LP-532</t>
  </si>
  <si>
    <t>УТ000016934</t>
  </si>
  <si>
    <t>Адаптер питания для ноутбука 19,0V/1,75A, штекер 4,0*1,35мм 40W ASUS-13 (OT-APB10)</t>
  </si>
  <si>
    <t>УТ000036903</t>
  </si>
  <si>
    <t>Адаптер питания для ноутбука 19,0V/1,75A, штекер miniUSB ASUS (OT-APB75)</t>
  </si>
  <si>
    <t>УТ000029091</t>
  </si>
  <si>
    <t>Адаптер питания для ноутбука 20,0V/4,50A, штекер USB LENOVO LP-563</t>
  </si>
  <si>
    <t>УТ000007437</t>
  </si>
  <si>
    <t>АЗУ для планшетов ACTIV 5В, 3A, разъем 2.5 х 0.9 мм</t>
  </si>
  <si>
    <t xml:space="preserve"> Подставки для ноутбуков</t>
  </si>
  <si>
    <t>УТ000053298</t>
  </si>
  <si>
    <t>Подставка-кулер для ноутбука HOCO PH40, серебряный</t>
  </si>
  <si>
    <t xml:space="preserve"> Сумки, чехлы для нетбуков и планшетов</t>
  </si>
  <si>
    <t>УТ000003736</t>
  </si>
  <si>
    <t>Клипкейс IRUAL Mesh Shell для iPad Air,  матово-прозрачный (IRMSD500-MCL) РАСПРОДАЖА!!!</t>
  </si>
  <si>
    <t>УТ000003737</t>
  </si>
  <si>
    <t>Клипкейс IRUAL Mesh Shell для iPad Air,  черный (IRMSD500-MBK)	РАСПРОДАЖА!!!</t>
  </si>
  <si>
    <t>УТ000003738</t>
  </si>
  <si>
    <t>Клипкейс IRUAL Mesh Shell для iPad mini Retina, матово-прозрачный (IRMSM210-MCL) РАСПРОДАЖА!!!</t>
  </si>
  <si>
    <t>УТ000003739</t>
  </si>
  <si>
    <t>Клипкейс IRUAL Mesh Shell для iPad mini Retina, черный (IRMSM210-MBK) РАСПРОДАЖА!!!</t>
  </si>
  <si>
    <t>00410050791</t>
  </si>
  <si>
    <t>Сумка для ноутбука Defender Portfolio 15.6 папка на молнии (коричневый.)</t>
  </si>
  <si>
    <t>УТ000003740</t>
  </si>
  <si>
    <t>Чехол Smartbuy для iPad Air, Candy, черный (SBC-Candy iPad Air-K) РАСПРОДАЖА!!!</t>
  </si>
  <si>
    <t>УТ000003741</t>
  </si>
  <si>
    <t>Чехол Smartbuy для iPad Air, Glide, черный (SBC-Glide iPadAir-K) РАСПРОДАЖА!!!</t>
  </si>
  <si>
    <t>УТ000001643</t>
  </si>
  <si>
    <t>Чехол Smartbuy для iPad mini 1/iPad mini 2, Candy, розовый (SBC-Candy iMiniRet-P) РАСПРОДАЖА!!!</t>
  </si>
  <si>
    <t>УТ000001644</t>
  </si>
  <si>
    <t>Чехол Smartbuy для iPad mini 1/iPad mini 2, Candy, черный (SBC-Candy iMiniRet-K) РАСПРОДАЖА!!!</t>
  </si>
  <si>
    <t>УТ000001645</t>
  </si>
  <si>
    <t>Чехол Smartbuy для iPad mini, Full Grain, черный (SBC-Full Grain iMini-K)	РАСПРОДАЖА!!!</t>
  </si>
  <si>
    <t>УТ000001646</t>
  </si>
  <si>
    <t>Чехол Smartbuy для iPad mini, Smart Case Smooth, черный (SBC-SC Smooth iMini-K) РАСПРОДАЖА!!!</t>
  </si>
  <si>
    <t>УТ000001648</t>
  </si>
  <si>
    <t>Чехол Smartbuy для Samsung Galaxy Tab 3.0 7", Full Grain, белый (SBC-FullGrain Tab 3.0 7-W)	РАСПРОДАЖА!!!</t>
  </si>
  <si>
    <t>УТ000001651</t>
  </si>
  <si>
    <t>Чехол Smartbuy для Samsung Galaxy Tab 3.0 8", Honeycomb, серебряный (SBC-Honeycomb Tab 3.0 8-S) РАПРОДАЖА!!!</t>
  </si>
  <si>
    <t>УТ000001652</t>
  </si>
  <si>
    <t>Чехол Smartbuy для Samsung Galaxy Tab 3.0 8", Honeycomb, сливовый (SBC-Honeycomb Tab 3.0 8-F) РАСПРОДАЖА!!!</t>
  </si>
  <si>
    <t>00410059306</t>
  </si>
  <si>
    <t>Чехол для планшета Defender Mini Case 7.9'' для iPad mini сер.магнитн РАСПРОДАЖА!!!</t>
  </si>
  <si>
    <t>00410059456</t>
  </si>
  <si>
    <t>Чехол подставка для планшета ASPIRE под кожу белый (007) (НБ`) РАСПРОДАЖА!!!</t>
  </si>
  <si>
    <t>00410059455</t>
  </si>
  <si>
    <t>Чехол подставка для планшета ASPIRE под кожу черный (005) (НБ`) РАСПРОДАЖА!!!</t>
  </si>
  <si>
    <t>00410059458</t>
  </si>
  <si>
    <t>Чехол подставка ромб для планшета ASPIRE под кожу белый (011) (НБ`) РАСПРОДАЖА!!!</t>
  </si>
  <si>
    <t>00410059457</t>
  </si>
  <si>
    <t>Чехол подставка ромб для планшета ASPIRE под кожу черный (010) (НБ`) РАСПРОДАЖА!!!</t>
  </si>
  <si>
    <t xml:space="preserve"> Акустические системы компьютерные</t>
  </si>
  <si>
    <t xml:space="preserve"> Акустические системы 2.0</t>
  </si>
  <si>
    <t>УТ000037084</t>
  </si>
  <si>
    <t>Активная АС 2.0 Defender SPK 33 белый</t>
  </si>
  <si>
    <t>УТ000010350</t>
  </si>
  <si>
    <t>Активная АС 2.0 Defender SPK 35 2x2,5W USB интерфейс</t>
  </si>
  <si>
    <t>00410059050</t>
  </si>
  <si>
    <t>Активная АС 2.0 Defender SPK-210 2x2W</t>
  </si>
  <si>
    <t>00401051769</t>
  </si>
  <si>
    <t>Активная АС 2.0 Defender SPK-225 2*1W, питание USB, серебристые</t>
  </si>
  <si>
    <t>УТ000002643</t>
  </si>
  <si>
    <t>Активная АС 2.0 Dialog Colibri AC-06UP, 2*6W, USB интерфейс, черно-белая</t>
  </si>
  <si>
    <t>УТ000029230</t>
  </si>
  <si>
    <t>Активная система 2.0 Perfeo CABINET, USB, мощность 2х3 Вт(RMS), махагон (PF-84)</t>
  </si>
  <si>
    <t>УТ000010650</t>
  </si>
  <si>
    <t>Активная система 2.0 Perfeo CABINET, USB, мощность 2х3 Вт(RMS), черное дерево (PF-84-BK)</t>
  </si>
  <si>
    <t>УТ000030829</t>
  </si>
  <si>
    <t>Активная система 2.0 Perfeo CABINET, мощность 2х3 Вт (RMS), белый дуб, USB</t>
  </si>
  <si>
    <t>УТ000030236</t>
  </si>
  <si>
    <t>Активная система 2.0 Perfeo Calibr, черные</t>
  </si>
  <si>
    <t>УТ000048434</t>
  </si>
  <si>
    <t>Активная система 2.0 Perfeo FLAMES черная</t>
  </si>
  <si>
    <t>УТ000017994</t>
  </si>
  <si>
    <t>Активная система 2.0 Perfeo MIRAGE, мощность 2х3 Вт (RMS), черн. USB (PF-2023)</t>
  </si>
  <si>
    <t>УТ000017995</t>
  </si>
  <si>
    <t>Активная система 2.0 Perfeo MONITOR, мощность 2х3 Вт (RMS), черн. USB (PF-2079)</t>
  </si>
  <si>
    <t>УТ000048436</t>
  </si>
  <si>
    <t>Активная система 2.0 Perfeo SHINE черная</t>
  </si>
  <si>
    <t>УТ000012053</t>
  </si>
  <si>
    <t>Активная система 2.0 Perfeo Tam-Tam, мощность 2х3 Вт (RMS), черн. USB (PF-1001)</t>
  </si>
  <si>
    <t>УТ000010317</t>
  </si>
  <si>
    <t>Активная система 2.0 Perfeo TOWER, мощность 2х3 Вт (RMS), черн. USB (PF-532)</t>
  </si>
  <si>
    <t>УТ000048437</t>
  </si>
  <si>
    <t>Активная система 2.0 Perfeo TRIAL черная</t>
  </si>
  <si>
    <t>УТ000012381</t>
  </si>
  <si>
    <t>Активная система 2.0 Perfeo UNO, мощность 2х3 Вт (RMS), черн. USB (PF-210)</t>
  </si>
  <si>
    <t>УТ000021120</t>
  </si>
  <si>
    <t>Активная система 2.0 Perfeo WAVE черный</t>
  </si>
  <si>
    <t>УТ000004083</t>
  </si>
  <si>
    <t>Активная система 2.0 SmartBuy CUTE, мощность 6Вт, USB, черно-зеленые (SBA-2580)</t>
  </si>
  <si>
    <t>УТ000004084</t>
  </si>
  <si>
    <t>Активная система 2.0 SmartBuy CUTE, мощность 6Вт, USB, черно-оранжевые (SBA-2590)</t>
  </si>
  <si>
    <t>УТ000004085</t>
  </si>
  <si>
    <t>Активная система 2.0 SmartBuy CUTE, мощность 6Вт, USB, черно-серые (SBA-2570)</t>
  </si>
  <si>
    <t>УТ000000791</t>
  </si>
  <si>
    <t>Активная система 2.0 SmartBuy FEST, USB (SBA-2500)</t>
  </si>
  <si>
    <t>УТ000004087</t>
  </si>
  <si>
    <t>Активная система 2.0 SmartBuy MINI, мощность 4Вт, USB, серые (SBA-2810)</t>
  </si>
  <si>
    <t>УТ000033695</t>
  </si>
  <si>
    <t>Активная система 2.0 SmartBuy ONE, дерево, USB, коричневый (SBA-102)</t>
  </si>
  <si>
    <t>УТ000033696</t>
  </si>
  <si>
    <t>Активная система 2.0 SmartBuy ONE, дерево, USB, черный (SBA-101)</t>
  </si>
  <si>
    <t>00410059733</t>
  </si>
  <si>
    <t>Активная система 2.0 SmartBuy ORCA BAND, 6Вт USB (SBA-1000)</t>
  </si>
  <si>
    <t>УТ000052607</t>
  </si>
  <si>
    <t>Активная система 2.0 SmartBuy RHAPSODY, (SBA-4800)</t>
  </si>
  <si>
    <t>УТ000012855</t>
  </si>
  <si>
    <t>Активная система 2.0 SmartBuy TORCH, мощность 6Вт, корпус МДФ, USB (SBA-2560)</t>
  </si>
  <si>
    <t>УТ000052608</t>
  </si>
  <si>
    <t>Активная система 2.0 SmartBuy W30, 6Вт, USB (SBA-4850)</t>
  </si>
  <si>
    <t>УТ000052609</t>
  </si>
  <si>
    <t>Активная система 2.0 SmartBuy W50, 6Вт, USB (SBA-4900)</t>
  </si>
  <si>
    <t xml:space="preserve"> Внешние звуковые карты</t>
  </si>
  <si>
    <t>УТ000047153</t>
  </si>
  <si>
    <t>Адаптер звуковой для ПК (7.1) USB 2.0</t>
  </si>
  <si>
    <t>УТ000038417</t>
  </si>
  <si>
    <t>УТ000050423</t>
  </si>
  <si>
    <t>УТ000059272</t>
  </si>
  <si>
    <t>УТ000052907</t>
  </si>
  <si>
    <t>Адаптер звуковой для ПК USB 2.0 Z60 AUX 4PIN</t>
  </si>
  <si>
    <t xml:space="preserve"> Картридеры, разветвители USB, хабы</t>
  </si>
  <si>
    <t xml:space="preserve"> Картридеры</t>
  </si>
  <si>
    <t>УТ000003734</t>
  </si>
  <si>
    <t>USB HUB+Картридер SmartBuy Combo SBRH-750-B Blue</t>
  </si>
  <si>
    <t>УТ000046180</t>
  </si>
  <si>
    <t>USB Картридер 3.0 SmartBuy SBR-705-K micro SD черный</t>
  </si>
  <si>
    <t>УТ000046179</t>
  </si>
  <si>
    <t>USB Картридер 3.0 SmartBuy SBR-705-W micro SD белый</t>
  </si>
  <si>
    <t>УТ000056725</t>
  </si>
  <si>
    <t>USB Картридер SmartBuy 3.0 SBR-750-B SD/microSD B</t>
  </si>
  <si>
    <t>УТ000000784</t>
  </si>
  <si>
    <t>USB Картридер SmartBuy SBR-717-B SD, microSD, M2 голубой</t>
  </si>
  <si>
    <t>УТ000005153</t>
  </si>
  <si>
    <t>USB Картридер SmartBuy SBR-749-W White</t>
  </si>
  <si>
    <t>УТ000008340</t>
  </si>
  <si>
    <t>USB Картридер SmartBuy SD, microSD, M2, SBR-715-R красный</t>
  </si>
  <si>
    <t>УТ000003731</t>
  </si>
  <si>
    <t>USB Картридер SmartBuy SD, microSD, M2, USB 3.0 белый (SBR-700-W)</t>
  </si>
  <si>
    <t>УТ000003732</t>
  </si>
  <si>
    <t>USB Картридер SmartBuy SD, microSD, M2, USB 3.0 черный (SBR-700-K)</t>
  </si>
  <si>
    <t xml:space="preserve"> Разветлители USB</t>
  </si>
  <si>
    <t>УТ000058184</t>
  </si>
  <si>
    <t>TYPE-C/USB HUB QC07 , 4-порта USB 2.0</t>
  </si>
  <si>
    <t>УТ000049888</t>
  </si>
  <si>
    <t>USB HUB Dream A4 2USB</t>
  </si>
  <si>
    <t>УТ000049889</t>
  </si>
  <si>
    <t>USB HUB Dream A6 3USB</t>
  </si>
  <si>
    <t>УТ000049890</t>
  </si>
  <si>
    <t>USB HUB Dream A7 3USB</t>
  </si>
  <si>
    <t>УТ000049891</t>
  </si>
  <si>
    <t>USB HUB Dream B1 4USB</t>
  </si>
  <si>
    <t>УТ000031576</t>
  </si>
  <si>
    <t>USB HUB Dream UH1 7USB</t>
  </si>
  <si>
    <t>УТ000031577</t>
  </si>
  <si>
    <t>USB HUB Dream UH2 4USB Dream</t>
  </si>
  <si>
    <t>УТ000049632</t>
  </si>
  <si>
    <t>USB HUB Dream Z6 4USB</t>
  </si>
  <si>
    <t>УТ000007501</t>
  </si>
  <si>
    <t>USB HUB SmartBuy SBHA-408-W 4 порта White</t>
  </si>
  <si>
    <t>00410059645</t>
  </si>
  <si>
    <t>USB HUB SmartBuy SBHA-6110-B 4 порта Blue</t>
  </si>
  <si>
    <t>00410059648</t>
  </si>
  <si>
    <t>USB HUB SmartBuy SBHA-6110-K 4 порта Black</t>
  </si>
  <si>
    <t>00410059646</t>
  </si>
  <si>
    <t>USB HUB SmartBuy SBHA-6810-B 4 порта Blue</t>
  </si>
  <si>
    <t>УТ000000602</t>
  </si>
  <si>
    <t>USB HUB SmartBuy SBHA-6810-K 4 порта Black</t>
  </si>
  <si>
    <t>00410059643</t>
  </si>
  <si>
    <t>USB HUB SmartBuy SBHA-6810-W 4 порта White</t>
  </si>
  <si>
    <t>00410059647</t>
  </si>
  <si>
    <t>USB HUB SmartBuy SBHA-6900-B 4 порта Blue</t>
  </si>
  <si>
    <t>00410059644</t>
  </si>
  <si>
    <t>USB HUB SmartBuy SBHA-6900-W 4 порта White</t>
  </si>
  <si>
    <t>УТ000042827</t>
  </si>
  <si>
    <t>USB HUB SmartBuy SBHA-7207-B 7 портов, с выключателем, черный СуперЭконом</t>
  </si>
  <si>
    <t>УТ000042826</t>
  </si>
  <si>
    <t>USB HUB SmartBuy SBHA-7207-W 7 портов, с выключателем, белый СуперЭконом</t>
  </si>
  <si>
    <t>УТ000056713</t>
  </si>
  <si>
    <t>USB HUB SmartBuy SBHA-7304-B 4 порта, с выключателем, чёрный СуперЭконом</t>
  </si>
  <si>
    <t>УТ000051935</t>
  </si>
  <si>
    <t>USB HUB SmartBuy SBHA-7304-W 4 порта, с выключателем, белый СуперЭконом</t>
  </si>
  <si>
    <t>УТ000051936</t>
  </si>
  <si>
    <t>USB HUB SmartBuy SBHA-7307-B 7 портов, с выключателем, черный</t>
  </si>
  <si>
    <t>УТ000044318</t>
  </si>
  <si>
    <t>USB HUB SmartBuy SBHA-7307-W 7 портов, с выключателем, белый</t>
  </si>
  <si>
    <t>УТ000056715</t>
  </si>
  <si>
    <t>USB HUB SmartBuy SBHA-7314-B 4 порта, круглый, чёрный СуперЭконом</t>
  </si>
  <si>
    <t>УТ000056714</t>
  </si>
  <si>
    <t>USB HUB SmartBuy SBHA-7314-W 4 порта, круглый, белый СуперЭконом</t>
  </si>
  <si>
    <t xml:space="preserve"> Клавиатуры компьютерные</t>
  </si>
  <si>
    <t xml:space="preserve"> Беспроводные клавиатуры и наборы</t>
  </si>
  <si>
    <t>УТ000018889</t>
  </si>
  <si>
    <t>Клавиатура беспроводная Perfeo PF-8006 COMPACT USB, черная</t>
  </si>
  <si>
    <t>УТ000035110</t>
  </si>
  <si>
    <t>Комплект клавиатура +  мышь SmartBuy ONE 235380AG черный (SBC-235380AG-K)</t>
  </si>
  <si>
    <t>УТ000034335</t>
  </si>
  <si>
    <t>Набор беспроводной Smartbuy 230346AG чёрно-серый (SBC-230346AG-KG)</t>
  </si>
  <si>
    <t>УТ000034336</t>
  </si>
  <si>
    <t>Набор беспроводной Smartbuy 230346AG чёрный (SBC-230346AG-K)</t>
  </si>
  <si>
    <t>УТ000039982</t>
  </si>
  <si>
    <t>Набор беспроводной Smartbuy 639391AG Black (SBC-639391AG-K)</t>
  </si>
  <si>
    <t>УТ000037312</t>
  </si>
  <si>
    <t>Набор беспроводной Smartbuy ONE 236374AG Black (SBC-236374AG-K)</t>
  </si>
  <si>
    <t xml:space="preserve"> Клавиатуры игровые</t>
  </si>
  <si>
    <t>УТ000043424</t>
  </si>
  <si>
    <t>Клавиатура игровая мультимедийная Smartbuy RUSH Raven 200 USB Black (SBK-200GU-K)</t>
  </si>
  <si>
    <t>УТ000021275</t>
  </si>
  <si>
    <t>Клавиатура игровая проводная DEFENDER LEGION GK-010DL, RGB подсветка, Anti-Ghost</t>
  </si>
  <si>
    <t>УТ000037099</t>
  </si>
  <si>
    <t>Клавиатура игровая проводная Smartbuy RUSH Savage 311 USB Black (SBK-311G-K)</t>
  </si>
  <si>
    <t>УТ000035107</t>
  </si>
  <si>
    <t>Клавиатура игровая проводная Smartbuy RUSH Warrior 308 USB Black (SBK-308G-K)</t>
  </si>
  <si>
    <t xml:space="preserve"> Клавиатуры стандарт</t>
  </si>
  <si>
    <t>УТ000049371</t>
  </si>
  <si>
    <t>Клавиатура проводная Defender Element HB-719 (USB,чёрная)</t>
  </si>
  <si>
    <t>УТ000049341</t>
  </si>
  <si>
    <t>Клавиатура проводная DEFENDER Next HB-440 RU,черный,полноразмерная</t>
  </si>
  <si>
    <t>УТ000012236</t>
  </si>
  <si>
    <t>Клавиатура проводная Dialog KS-030U Standart (USB, черная c красными игровыми клавишами)</t>
  </si>
  <si>
    <t>УТ000015375</t>
  </si>
  <si>
    <t>Клавиатура проводная Perfeo DOMINO, USB, черная (PF-8801)</t>
  </si>
  <si>
    <t>УТ000015376</t>
  </si>
  <si>
    <t>Клавиатура проводная Perfeo PYRAMID Multimedia, USB, черная (PF-8005)</t>
  </si>
  <si>
    <t>УТ000028358</t>
  </si>
  <si>
    <t>Клавиатура проводная RITMIX RKB-121 (USB, черная), 107 клавиш</t>
  </si>
  <si>
    <t>УТ000028359</t>
  </si>
  <si>
    <t>Клавиатура проводная RITMIX RKB-141 (USB, черная)  мультимедийная, 116 клавиш</t>
  </si>
  <si>
    <t>УТ000012857</t>
  </si>
  <si>
    <t>Клавиатура проводная SmartBuy ONE 112 USB Black</t>
  </si>
  <si>
    <t>УТ000047920</t>
  </si>
  <si>
    <t>Клавиатура проводная SmartBuy ONE 114 USB Black</t>
  </si>
  <si>
    <t>УТ000040482</t>
  </si>
  <si>
    <t>Клавиатура проводная SmartBuy ONE 115 USB Black</t>
  </si>
  <si>
    <t>УТ000052101</t>
  </si>
  <si>
    <t>Клавиатура проводная SmartBuy ONE 210 USB Black</t>
  </si>
  <si>
    <t>УТ000024970</t>
  </si>
  <si>
    <t>Клавиатура проводная SmartBuy ONE 221 USB черная с синими игровыми клавишами</t>
  </si>
  <si>
    <t>УТ000040483</t>
  </si>
  <si>
    <t>Клавиатура проводная Smartbuy мультимедийная 238 белая (SBK-238U-W)</t>
  </si>
  <si>
    <t>УТ000040484</t>
  </si>
  <si>
    <t>Клавиатура проводная Smartbuy мультимедийная 238 чёрная (SBK-238U-K)</t>
  </si>
  <si>
    <t>УТ000030582</t>
  </si>
  <si>
    <t>Клавиатура проводная SmartBuy мультимедийная 305 USB с подсветкой, белая (SBK-305U-W)</t>
  </si>
  <si>
    <t>УТ000033872</t>
  </si>
  <si>
    <t>Клавиатура проводная SmartBuy мультимедийная 328 USB с подсветкой, черная (SBK-328U-K)</t>
  </si>
  <si>
    <t>УТ000024971</t>
  </si>
  <si>
    <t>Клавиатура проводная Smartbuy мультимедийная 333 USB с подсветкой белая (SBK-333U-W)</t>
  </si>
  <si>
    <t>УТ000024972</t>
  </si>
  <si>
    <t>Клавиатура проводная Smartbuy мультимедийная 333 USB с подсветкой бело-чёрная (SBK-333U-W-K)</t>
  </si>
  <si>
    <t>УТ000040485</t>
  </si>
  <si>
    <t>Клавиатура проводная Smartbuy мультимедийная с подсветкой 240 чёрная (SBK-240U-K)</t>
  </si>
  <si>
    <t>УТ000004866</t>
  </si>
  <si>
    <t>Клавиатура проводная, гибкая, силиконовая, Dialog KFX-03U черный (USB, черная)</t>
  </si>
  <si>
    <t>УТ000059022</t>
  </si>
  <si>
    <t>Наклейка-шрифт для клавиатуры D2 Tech SF-01B, русский шрифт, синий цвет на прозрачном фоне</t>
  </si>
  <si>
    <t>УТ000059023</t>
  </si>
  <si>
    <t>Наклейка-шрифт для клавиатуры D2 Tech SF-01R, русский шрифт, красный цвет на прозрачном фоне</t>
  </si>
  <si>
    <t>УТ000059025</t>
  </si>
  <si>
    <t>Наклейка-шрифт для клавиатуры D2 Tech SF-02YW, русский и английский шрифт, желтый и белый цвет, на чёрном фоне</t>
  </si>
  <si>
    <t xml:space="preserve"> Микрофоны компьютерные</t>
  </si>
  <si>
    <t xml:space="preserve"> Микрофоны настольные, для компьютеров 3Pin</t>
  </si>
  <si>
    <t>УТ000019099</t>
  </si>
  <si>
    <t>Микрофон Defender MIC-117, настольный, на гибком основании, черный</t>
  </si>
  <si>
    <t xml:space="preserve"> Микрофоны петличные, для компьютеров 3Pin</t>
  </si>
  <si>
    <t>УТ000058663</t>
  </si>
  <si>
    <t>Микрофон петличный для компьютера, штекер Jack 3.5 мм, 3pin, длина 1,5 м, крепление на одежду</t>
  </si>
  <si>
    <t xml:space="preserve"> Мыши компьютерные</t>
  </si>
  <si>
    <t xml:space="preserve"> Беспроводные мыши</t>
  </si>
  <si>
    <t>УТ000057942</t>
  </si>
  <si>
    <t>Мышь беспроводная Borofone BG4 белая</t>
  </si>
  <si>
    <t>УТ000057944</t>
  </si>
  <si>
    <t>Мышь беспроводная Borofone BG5 белая</t>
  </si>
  <si>
    <t>УТ000057945</t>
  </si>
  <si>
    <t>Мышь беспроводная Borofone BG7 белая</t>
  </si>
  <si>
    <t>УТ000027262</t>
  </si>
  <si>
    <t>Мышь беспроводная Defender Accura MM-275 красный</t>
  </si>
  <si>
    <t>УТ000025382</t>
  </si>
  <si>
    <t>Мышь беспроводная Defender Accura MM-365 красный</t>
  </si>
  <si>
    <t>УТ000025381</t>
  </si>
  <si>
    <t>Мышь беспроводная Defender Accura MM-365 синий</t>
  </si>
  <si>
    <t>УТ000025380</t>
  </si>
  <si>
    <t>Мышь беспроводная Defender Accura MM-365 черный</t>
  </si>
  <si>
    <t>УТ000015504</t>
  </si>
  <si>
    <t>Мышь беспроводная Defender Accura MM-665, красный, 6 кнопок</t>
  </si>
  <si>
    <t>УТ000015502</t>
  </si>
  <si>
    <t>Мышь беспроводная Defender Accura MM-665, серая, 6 кнопок</t>
  </si>
  <si>
    <t>УТ000015503</t>
  </si>
  <si>
    <t>Мышь беспроводная Defender Accura MM-665, синий, 6 кнопок</t>
  </si>
  <si>
    <t>УТ000012210</t>
  </si>
  <si>
    <t>Мышь беспроводная Defender Accura MM-965 (6 кн.красная)</t>
  </si>
  <si>
    <t>УТ000055703</t>
  </si>
  <si>
    <t>Мышь беспроводная Defender Auris MB-027 800-1600dpi, бесшумн., красный</t>
  </si>
  <si>
    <t>УТ000025376</t>
  </si>
  <si>
    <t>Мышь беспроводная Defender Datum MB-345 черный</t>
  </si>
  <si>
    <t>УТ000057008</t>
  </si>
  <si>
    <t>Мышь беспроводная Defender Effect X MS-095 800-1600dpi, бесшумн., черный</t>
  </si>
  <si>
    <t>УТ000014812</t>
  </si>
  <si>
    <t>Мышь беспроводная Defender MM-605 (3 кнопок,1200dpi, USB, зеленый)</t>
  </si>
  <si>
    <t>УТ000014810</t>
  </si>
  <si>
    <t>Мышь беспроводная Defender MM-605 (3 кнопок,1200dpi, USB, красный)</t>
  </si>
  <si>
    <t>УТ000014811</t>
  </si>
  <si>
    <t>Мышь беспроводная Defender MM-605 (3 кнопок,1200dpi, USB, синий)</t>
  </si>
  <si>
    <t>УТ000057010</t>
  </si>
  <si>
    <t>Мышь беспроводная Defender Modern MB-985 800-1600dpi, бесшумн., черный</t>
  </si>
  <si>
    <t>УТ000057007</t>
  </si>
  <si>
    <t>Мышь беспроводная Defender Prime MB-053 800-1600dpi, бесшумн., черный</t>
  </si>
  <si>
    <t>УТ000055709</t>
  </si>
  <si>
    <t>Мышь беспроводная Defender Wave MM-995 800-1600dpi, бесшумн., золото</t>
  </si>
  <si>
    <t>УТ000055708</t>
  </si>
  <si>
    <t>Мышь беспроводная Defender Wave MM-995 800-1600dpi, бесшумн., серый</t>
  </si>
  <si>
    <t>УТ000033904</t>
  </si>
  <si>
    <t>Мышь беспроводная Perfeo Daily, серый металлик</t>
  </si>
  <si>
    <t>УТ000034479</t>
  </si>
  <si>
    <t>Мышь беспроводная Perfeo Vertex, черный-серебро</t>
  </si>
  <si>
    <t>УТ000057870</t>
  </si>
  <si>
    <t>Мышь беспроводная SmartBuy 266AG розрвый градиент</t>
  </si>
  <si>
    <t>УТ000057871</t>
  </si>
  <si>
    <t>Мышь беспроводная SmartBuy 266AG фиолетовый градиент</t>
  </si>
  <si>
    <t>УТ000057872</t>
  </si>
  <si>
    <t>Мышь беспроводная SmartBuy 266AG чёрная градиент</t>
  </si>
  <si>
    <t>УТ000059083</t>
  </si>
  <si>
    <t>Мышь беспроводная SmartBuy 282AG чёрная беззвучная</t>
  </si>
  <si>
    <t>УТ000000960</t>
  </si>
  <si>
    <t>Мышь беспроводная SmartBuy 309AG Pink</t>
  </si>
  <si>
    <t>УТ000000961</t>
  </si>
  <si>
    <t>Мышь беспроводная SmartBuy 309AG Purple</t>
  </si>
  <si>
    <t>00410059769</t>
  </si>
  <si>
    <t>Мышь беспроводная SmartBuy 314AG серый металлик, Blue LED беззвучная</t>
  </si>
  <si>
    <t>00410059750</t>
  </si>
  <si>
    <t>Мышь беспроводная SmartBuy 325AG (3 кпопки, 1000dpi, USB, желто-черная)</t>
  </si>
  <si>
    <t>00410059749</t>
  </si>
  <si>
    <t>Мышь беспроводная SmartBuy 325AG (3 кпопки, 1000dpi, USB, красная)</t>
  </si>
  <si>
    <t>УТ000000859</t>
  </si>
  <si>
    <t>Мышь беспроводная SmartBuy 325AG (3 кпопки, 1000dpi, USB, синяя)</t>
  </si>
  <si>
    <t>00410059762</t>
  </si>
  <si>
    <t>Мышь беспроводная SmartBuy 356AG Blue/White</t>
  </si>
  <si>
    <t>УТ000036878</t>
  </si>
  <si>
    <t>Мышь беспроводная SmartBuy 508 бордо</t>
  </si>
  <si>
    <t>00410059764</t>
  </si>
  <si>
    <t>Мышь беспроводная SmartBuy 601AG Gray</t>
  </si>
  <si>
    <t>УТ000059084</t>
  </si>
  <si>
    <t>Мышь беспроводная SmartBuy 611AG лиловая беззвучная</t>
  </si>
  <si>
    <t>УТ000001338</t>
  </si>
  <si>
    <t>Мышь беспроводная SmartBuy 613AG Purple/Black</t>
  </si>
  <si>
    <t>УТ000001339</t>
  </si>
  <si>
    <t>Мышь беспроводная SmartBuy 613AG Red/Black</t>
  </si>
  <si>
    <t>УТ000036881</t>
  </si>
  <si>
    <t>Мышь беспроводная SmartBuy ONE 200 красный</t>
  </si>
  <si>
    <t>УТ000036882</t>
  </si>
  <si>
    <t>Мышь беспроводная SmartBuy ONE 200 серый</t>
  </si>
  <si>
    <t>УТ000036883</t>
  </si>
  <si>
    <t>Мышь беспроводная SmartBuy ONE 200 синий</t>
  </si>
  <si>
    <t>УТ000036884</t>
  </si>
  <si>
    <t>Мышь беспроводная SmartBuy ONE 200 черный</t>
  </si>
  <si>
    <t>УТ000035643</t>
  </si>
  <si>
    <t>Мышь беспроводная SmartBuy ONE 300AG-K чёрная</t>
  </si>
  <si>
    <t>УТ000054123</t>
  </si>
  <si>
    <t>Мышь беспроводная SmartBuy ONE 303AG-K черная</t>
  </si>
  <si>
    <t>УТ000020186</t>
  </si>
  <si>
    <t>Мышь беспроводная SmartBuy ONE 329 чёрная</t>
  </si>
  <si>
    <t>УТ000042851</t>
  </si>
  <si>
    <t>Мышь беспроводная SmartBuy ONE 332 красный</t>
  </si>
  <si>
    <t>УТ000042852</t>
  </si>
  <si>
    <t>Мышь беспроводная SmartBuy ONE 332 синий</t>
  </si>
  <si>
    <t>УТ000042853</t>
  </si>
  <si>
    <t>Мышь беспроводная SmartBuy ONE 332 черный</t>
  </si>
  <si>
    <t>УТ000032732</t>
  </si>
  <si>
    <t>Мышь беспроводная SmartBuy ONE 333AG белая</t>
  </si>
  <si>
    <t>УТ000032731</t>
  </si>
  <si>
    <t>Мышь беспроводная SmartBuy ONE 333AG чёрная</t>
  </si>
  <si>
    <t>УТ000009784</t>
  </si>
  <si>
    <t>Мышь беспроводная SmartBuy ONE 340AG (4 кпопки, 1000dpi, USB, черная)</t>
  </si>
  <si>
    <t>УТ000016245</t>
  </si>
  <si>
    <t>Мышь беспроводная SmartBuy ONE 340AG-CN (4 кпопки, 1000dpi, USB, бирюзовая)</t>
  </si>
  <si>
    <t>УТ000016246</t>
  </si>
  <si>
    <t>Мышь беспроводная SmartBuy ONE 340AG-M (4 кпопки, 1000dpi, USB, бордовая)</t>
  </si>
  <si>
    <t>УТ000016244</t>
  </si>
  <si>
    <t>Мышь беспроводная SmartBuy ONE 340AG-W (4 кпопки, 1000dpi, USB, белая)</t>
  </si>
  <si>
    <t>УТ000009785</t>
  </si>
  <si>
    <t>Мышь беспроводная SmartBuy ONE 341AG (3 кпопки, 1000dpi, USB, черная)</t>
  </si>
  <si>
    <t>УТ000012878</t>
  </si>
  <si>
    <t>Мышь беспроводная SmartBuy ONE 344CAG с зарядкой от USB чёрно-красная</t>
  </si>
  <si>
    <t>УТ000012876</t>
  </si>
  <si>
    <t>Мышь беспроводная SmartBuy ONE 344CAG с зарядкой от USB, бело-серая</t>
  </si>
  <si>
    <t>УТ000032733</t>
  </si>
  <si>
    <t>Мышь беспроводная SmartBuy ONE 352 белая</t>
  </si>
  <si>
    <t>УТ000023124</t>
  </si>
  <si>
    <t>Мышь беспроводная SmartBuy ONE 352 чёрная</t>
  </si>
  <si>
    <t>УТ000023121</t>
  </si>
  <si>
    <t>Мышь беспроводная SmartBuy ONE 352 чёрно-зелёная</t>
  </si>
  <si>
    <t>УТ000023122</t>
  </si>
  <si>
    <t>Мышь беспроводная SmartBuy ONE 352 чёрно-красная (SBM-352AG-RK)</t>
  </si>
  <si>
    <t>УТ000023123</t>
  </si>
  <si>
    <t>Мышь беспроводная SmartBuy ONE 352 чёрно-синяя (SBM-352AG-BK)</t>
  </si>
  <si>
    <t>УТ000020189</t>
  </si>
  <si>
    <t>Мышь беспроводная SmartBuy ONE 358 черная (SBM-358AG-K)</t>
  </si>
  <si>
    <t>УТ000033321</t>
  </si>
  <si>
    <t>Мышь беспроводная SmartBuy ONE 368AG Blue/Black</t>
  </si>
  <si>
    <t>УТ000033320</t>
  </si>
  <si>
    <t>Мышь беспроводная SmartBuy ONE 368AG Gray/Black</t>
  </si>
  <si>
    <t>УТ000033319</t>
  </si>
  <si>
    <t>Мышь беспроводная SmartBuy ONE 368AG чёрно-красная</t>
  </si>
  <si>
    <t>УТ000041062</t>
  </si>
  <si>
    <t>Мышь беспроводная SmartBuy ONE 378AG синяя</t>
  </si>
  <si>
    <t>УТ000041058</t>
  </si>
  <si>
    <t>Мышь беспроводная SmartBuy беззвучная ONE 262AG-O бронза</t>
  </si>
  <si>
    <t xml:space="preserve"> Игровые мыши</t>
  </si>
  <si>
    <t>УТ000052725</t>
  </si>
  <si>
    <t>Мышь игровая беспроводная Defender Oneshot GM-067 оптика,6кнопок,800-3200dpi</t>
  </si>
  <si>
    <t>УТ000039868</t>
  </si>
  <si>
    <t>Мышь игровая беспроводная Dialog MRGK-12UR Gan-Kata, 6 кнопок+ролик прокрутки, USB, черная</t>
  </si>
  <si>
    <t>УТ000029239</t>
  </si>
  <si>
    <t>Мышь игровая беспроводная Nakatomi MROG-20UR</t>
  </si>
  <si>
    <t>УТ000041324</t>
  </si>
  <si>
    <t>Мышь игровая проводная Defender Titan GM-650L 6 кн, 6400 dpi</t>
  </si>
  <si>
    <t>УТ000020220</t>
  </si>
  <si>
    <t>Мышь игровая проводная Smartbuy RUSH 712 чёрная (SBM-712G-K)</t>
  </si>
  <si>
    <t>УТ000039989</t>
  </si>
  <si>
    <t>Мышь игровая проводная SmartBuy RUSH 730 черная + коврик (SBM-730G-K)</t>
  </si>
  <si>
    <t>УТ000040489</t>
  </si>
  <si>
    <t>Мышь игровая проводная SmartBuy RUSH Phantom 713 металл (SBM-713G-G)</t>
  </si>
  <si>
    <t>УТ000039988</t>
  </si>
  <si>
    <t>Мышь игровая проводная SmartBuy RUSH Storm 916 чёрная (SBM-916G-K)</t>
  </si>
  <si>
    <t>УТ000038846</t>
  </si>
  <si>
    <t>Мышь игровая проводная SmartBuy RUSH Zombie 721 черный (SBM-721G-K)</t>
  </si>
  <si>
    <t xml:space="preserve"> Коврики игровые, стандартные размеры</t>
  </si>
  <si>
    <t>УТ000056728</t>
  </si>
  <si>
    <t>Коврик компьютерный SmartBuy Baloon S-size (SBMP-105-BN)</t>
  </si>
  <si>
    <t>УТ000045227</t>
  </si>
  <si>
    <t>Коврик компьютерный игровой SmartBuy RUSH Allure (SBMP-18G-AL)</t>
  </si>
  <si>
    <t>УТ000056719</t>
  </si>
  <si>
    <t>Коврик компьютерный игровой SmartBuy RUSH Blackout (SBMP-S01G-K)</t>
  </si>
  <si>
    <t>УТ000045228</t>
  </si>
  <si>
    <t>Коврик компьютерный игровой SmartBuy RUSH Earth (SBMP-17G-EA)</t>
  </si>
  <si>
    <t>УТ000058609</t>
  </si>
  <si>
    <t>Коврик компьютерный игровой SmartBuy RUSH Enigma (SBMP-10G-EN)</t>
  </si>
  <si>
    <t>УТ000045231</t>
  </si>
  <si>
    <t>Коврик компьютерный игровой SmartBuy RUSH Florena (SBMP-12G-FL)</t>
  </si>
  <si>
    <t>УТ000044343</t>
  </si>
  <si>
    <t>Коврик компьютерный игровой SmartBuy RUSH Gargo (SBMP-16G-GA)</t>
  </si>
  <si>
    <t>УТ000041057</t>
  </si>
  <si>
    <t>Коврик компьютерный игровой Smartbuy RUSH Robot (SBMP-03G-RB)</t>
  </si>
  <si>
    <t>УТ000045234</t>
  </si>
  <si>
    <t>Коврик компьютерный игровой SmartBuy RUSH Yeti (SBMP-19G-YE)</t>
  </si>
  <si>
    <t>УТ000044347</t>
  </si>
  <si>
    <t>Коврик компьютерный игровой SmartBuy RUSH Yin-Yang (SBMP-14G-YY)</t>
  </si>
  <si>
    <t xml:space="preserve"> Коврики компьютерные</t>
  </si>
  <si>
    <t>УТ000052960</t>
  </si>
  <si>
    <t>Коврик компьютерный F2 20x24см, MIG-35</t>
  </si>
  <si>
    <t>УТ000052961</t>
  </si>
  <si>
    <t>Коврик компьютерный F2 20x24см, PUBG Гидроцикл</t>
  </si>
  <si>
    <t>УТ000051015</t>
  </si>
  <si>
    <t>Коврик компьютерный G5 30x40см, Battlegrounds</t>
  </si>
  <si>
    <t>УТ000051014</t>
  </si>
  <si>
    <t>Коврик компьютерный G5 30x40см, Dota-Victor</t>
  </si>
  <si>
    <t>УТ000052977</t>
  </si>
  <si>
    <t>Коврик компьютерный G5 30x40см, Position</t>
  </si>
  <si>
    <t>УТ000052972</t>
  </si>
  <si>
    <t>Коврик компьютерный G5 30x40см, VRT</t>
  </si>
  <si>
    <t>УТ000057067</t>
  </si>
  <si>
    <t>Коврик компьютерный H8 25x29, Dota2  ТРОН</t>
  </si>
  <si>
    <t>УТ000042942</t>
  </si>
  <si>
    <t>Коврик компьютерный H8 25x29, Lion</t>
  </si>
  <si>
    <t>УТ000052982</t>
  </si>
  <si>
    <t>Коврик компьютерный H8 25x29, PUBG Girl</t>
  </si>
  <si>
    <t>УТ000042937</t>
  </si>
  <si>
    <t>Коврик компьютерный H8 25x29, PUBG Revolver</t>
  </si>
  <si>
    <t>УТ000042938</t>
  </si>
  <si>
    <t>Коврик компьютерный H8 25x29, PUBG Slem</t>
  </si>
  <si>
    <t>УТ000051021</t>
  </si>
  <si>
    <t>Коврик компьютерный H8 25x29, PUBG Байк</t>
  </si>
  <si>
    <t>УТ000042939</t>
  </si>
  <si>
    <t>Коврик компьютерный H8 25x29, PUBG Засада</t>
  </si>
  <si>
    <t>УТ000051022</t>
  </si>
  <si>
    <t>Коврик компьютерный H8 25x29, PUBG Лобби</t>
  </si>
  <si>
    <t>УТ000042947</t>
  </si>
  <si>
    <t>Коврик компьютерный H8 25x29, Воин</t>
  </si>
  <si>
    <t>УТ000051018</t>
  </si>
  <si>
    <t>Коврик компьютерный H8 25x29, ЗИЛ</t>
  </si>
  <si>
    <t>УТ000057077</t>
  </si>
  <si>
    <t>Коврик компьютерный K9 30x80, RZTD</t>
  </si>
  <si>
    <t>УТ000051026</t>
  </si>
  <si>
    <t>Коврик компьютерный K9 30x80, Наруто</t>
  </si>
  <si>
    <t xml:space="preserve"> Проводные мыши</t>
  </si>
  <si>
    <t>УТ000057943</t>
  </si>
  <si>
    <t>Мышь проводная Borofone BG4 чёрная</t>
  </si>
  <si>
    <t>УТ000041314</t>
  </si>
  <si>
    <t>Мышь проводная Defender Accura MM-362 черный</t>
  </si>
  <si>
    <t>УТ000032555</t>
  </si>
  <si>
    <t>Мышь проводная Defender Classic MB-230</t>
  </si>
  <si>
    <t>УТ000029484</t>
  </si>
  <si>
    <t>Мышь проводная Defender Cyber MB-560L 7цветов, 3кн, 1200 dpi, черная</t>
  </si>
  <si>
    <t>УТ000021863</t>
  </si>
  <si>
    <t>Мышь проводная Defender Datum MS-980 черный</t>
  </si>
  <si>
    <t>УТ000047552</t>
  </si>
  <si>
    <t>Мышь проводная Defender Dot MB-986</t>
  </si>
  <si>
    <t>УТ000034169</t>
  </si>
  <si>
    <t>Мышь проводная Defender Guide MB-751 черный,3 кнопок, 1000 dpi</t>
  </si>
  <si>
    <t>УТ000030328</t>
  </si>
  <si>
    <t>Мышь проводная Defender HIT MB-601L, подсветка</t>
  </si>
  <si>
    <t>УТ000045532</t>
  </si>
  <si>
    <t>Мышь проводная Defender MB-580, черный</t>
  </si>
  <si>
    <t>УТ000017820</t>
  </si>
  <si>
    <t>Мышь проводная Defender MM-310  черная</t>
  </si>
  <si>
    <t>УТ000013517</t>
  </si>
  <si>
    <t>Мышь проводная Defender MM-930 (3кн. 1200dpi)</t>
  </si>
  <si>
    <t>УТ000057787</t>
  </si>
  <si>
    <t>Мышь проводная Defender Omega MB-522, 4 кнопки, 500-1600dp,i черный</t>
  </si>
  <si>
    <t>УТ000034178</t>
  </si>
  <si>
    <t>Мышь проводная Defender Ultra Gloss MB-490 4 кн, 1000 dpi, 7 цветов</t>
  </si>
  <si>
    <t>УТ000047551</t>
  </si>
  <si>
    <t>Мышь проводная Defender Ultra Host MB-982, белый</t>
  </si>
  <si>
    <t>УТ000047550</t>
  </si>
  <si>
    <t>Мышь проводная Defender Ultra Host MB-982, черный</t>
  </si>
  <si>
    <t>УТ000008368</t>
  </si>
  <si>
    <t>Мышь проводная Perfeo 3кн., USB, 1,8м., черн-белая (PF-353-OP-W)</t>
  </si>
  <si>
    <t>УТ000008369</t>
  </si>
  <si>
    <t>Мышь проводная Perfeo 3кн., USB, 1,8м., черн-желт (PF-353-OP-Y)</t>
  </si>
  <si>
    <t>УТ000008370</t>
  </si>
  <si>
    <t>Мышь проводная Perfeo 3кн., USB, 1,8м., черн-зелен (PF-353-OP-GN)</t>
  </si>
  <si>
    <t>УТ000008371</t>
  </si>
  <si>
    <t>Мышь проводная Perfeo 3кн., USB, 1,8м., черн-оранж (PF-353-OP-OR)</t>
  </si>
  <si>
    <t>УТ000008367</t>
  </si>
  <si>
    <t>Мышь проводная Perfeo 3кн., USB, 1,8м., черная (PF-353-OP-B)</t>
  </si>
  <si>
    <t>УТ000036248</t>
  </si>
  <si>
    <t>Мышь проводная Perfeo Debut, черный</t>
  </si>
  <si>
    <t>УТ000052123</t>
  </si>
  <si>
    <t>Мышь проводная Perfeo Face, черная</t>
  </si>
  <si>
    <t>УТ000052124</t>
  </si>
  <si>
    <t>Мышь проводная Perfeo Graf, черная</t>
  </si>
  <si>
    <t>УТ000036249</t>
  </si>
  <si>
    <t>Мышь проводная Perfeo Line, черный</t>
  </si>
  <si>
    <t>УТ000021124</t>
  </si>
  <si>
    <t>Мышь проводная Perfeo PF-010-CB GLOW подсветка, 3кн., USB, черн Color box</t>
  </si>
  <si>
    <t>УТ000017998</t>
  </si>
  <si>
    <t>Мышь проводная Perfeo Profil (4кн, USB, черная) (PF-383-OP-B)</t>
  </si>
  <si>
    <t>УТ000018001</t>
  </si>
  <si>
    <t>Мышь проводная Perfeo Profil (4кн, USB, черно-зеленая) (PF-383-OP-B/GN)</t>
  </si>
  <si>
    <t>УТ000017999</t>
  </si>
  <si>
    <t>Мышь проводная Perfeo Profil (4кн, USB, черно-синяя) (PF-383-OP-B/BL)</t>
  </si>
  <si>
    <t>УТ000037872</t>
  </si>
  <si>
    <t>Мышь проводная Perfeo Tour, черный-серебро</t>
  </si>
  <si>
    <t>УТ000059117</t>
  </si>
  <si>
    <t>Мышь проводная Perfeo USB NO NAME-4, черный</t>
  </si>
  <si>
    <t>УТ000047921</t>
  </si>
  <si>
    <t>Мышь проводная SmartBuy 216 ONE USB Black</t>
  </si>
  <si>
    <t>УТ000056732</t>
  </si>
  <si>
    <t>Мышь проводная SmartBuy 288K USB чёрная, с подсветкой беззвучная</t>
  </si>
  <si>
    <t>00410059776</t>
  </si>
  <si>
    <t>Мышь проводная SmartBuy 325 USB Black</t>
  </si>
  <si>
    <t>УТ000000152</t>
  </si>
  <si>
    <t>Мышь проводная SmartBuy 325 USB Blue</t>
  </si>
  <si>
    <t>00410059777</t>
  </si>
  <si>
    <t>Мышь проводная SmartBuy 325 USB Red</t>
  </si>
  <si>
    <t>00410059778</t>
  </si>
  <si>
    <t>Мышь проводная SmartBuy 325 USB Yellow</t>
  </si>
  <si>
    <t>УТ000009788</t>
  </si>
  <si>
    <t>Мышь проводная SmartBuy 334 ONE USB Black с подсветкой</t>
  </si>
  <si>
    <t>УТ000009787</t>
  </si>
  <si>
    <t>Мышь проводная SmartBuy 334 ONE USB White с подсветкой</t>
  </si>
  <si>
    <t>УТ000009790</t>
  </si>
  <si>
    <t>Мышь проводная SmartBuy 338 ONE USB Black с подсветкой</t>
  </si>
  <si>
    <t>УТ000009789</t>
  </si>
  <si>
    <t>Мышь проводная SmartBuy 338 ONE USB White с подсветкой</t>
  </si>
  <si>
    <t>УТ000009791</t>
  </si>
  <si>
    <t>Мышь проводная SmartBuy 339 ONE USB Black</t>
  </si>
  <si>
    <t>УТ000054125</t>
  </si>
  <si>
    <t>Мышь проводная SmartBuy ONE 212-K USB чёрная</t>
  </si>
  <si>
    <t>УТ000020196</t>
  </si>
  <si>
    <t>Мышь проводная SmartBuy ONE 214-K USB чёрная</t>
  </si>
  <si>
    <t>УТ000041067</t>
  </si>
  <si>
    <t>Мышь проводная SmartBuy ONE 265-K USB красная беззвучная</t>
  </si>
  <si>
    <t>УТ000041066</t>
  </si>
  <si>
    <t>Мышь проводная SmartBuy ONE 265-K USB чёрная беззвучная</t>
  </si>
  <si>
    <t>УТ000042856</t>
  </si>
  <si>
    <t>Мышь проводная SmartBuy ONE 280 USB бело-серая беззвучная</t>
  </si>
  <si>
    <t>УТ000042855</t>
  </si>
  <si>
    <t>Мышь проводная SmartBuy ONE 280 USB чёрная беззвучная</t>
  </si>
  <si>
    <t>УТ000007860</t>
  </si>
  <si>
    <t>Мышь проводная SmartBuy ONE 329 USB чёрно-жёлтая</t>
  </si>
  <si>
    <t>УТ000007861</t>
  </si>
  <si>
    <t>Мышь проводная SmartBuy ONE 329 USB чёрно-серая</t>
  </si>
  <si>
    <t>УТ000007862</t>
  </si>
  <si>
    <t>Мышь проводная SmartBuy ONE 329 USB чёрно-синяя</t>
  </si>
  <si>
    <t>УТ000029043</t>
  </si>
  <si>
    <t>Мышь проводная SmartBuy ONE 352 USB белая</t>
  </si>
  <si>
    <t>УТ000023129</t>
  </si>
  <si>
    <t>Мышь проводная SmartBuy ONE 352 USB чёрная</t>
  </si>
  <si>
    <t>УТ000023126</t>
  </si>
  <si>
    <t>Мышь проводная SmartBuy ONE 352 USB чёрно-зелёная</t>
  </si>
  <si>
    <t>УТ000023127</t>
  </si>
  <si>
    <t>Мышь проводная SmartBuy ONE 352 USB чёрно-красная</t>
  </si>
  <si>
    <t>УТ000023128</t>
  </si>
  <si>
    <t>Мышь проводная SmartBuy ONE 352 USB чёрно-синяя</t>
  </si>
  <si>
    <t xml:space="preserve"> Устройства с питанием от USB</t>
  </si>
  <si>
    <t>УТ000055395</t>
  </si>
  <si>
    <t>Светодиодный USB светильник 24 Led, 5В 12Вт, 180мм</t>
  </si>
  <si>
    <t>УТ000055394</t>
  </si>
  <si>
    <t>Светодиодный USB светильник 3 Led, 5В 1,5 Вт, 60мм</t>
  </si>
  <si>
    <t>УТ000055393</t>
  </si>
  <si>
    <t>Светодиодный USB светильник 8 Led, 5В 2,5Вт, 100мм</t>
  </si>
  <si>
    <t>УТ000059291</t>
  </si>
  <si>
    <t>Светодиодный USB светильник C6 3 LED COOL ( тёплый свет) DREAM</t>
  </si>
  <si>
    <t>УТ000057641</t>
  </si>
  <si>
    <t>Светодиодный USB светильник C6 3 LED COOL ( холодный свет) DREAM</t>
  </si>
  <si>
    <t>УТ000057650</t>
  </si>
  <si>
    <t>Светодиодный USB светильник C6 8 LED COOL ( холодный свет) DREAM</t>
  </si>
  <si>
    <t xml:space="preserve"> Аксессуары для мобильных устройств</t>
  </si>
  <si>
    <t xml:space="preserve"> Кабеля для зарядок, переходники</t>
  </si>
  <si>
    <t xml:space="preserve"> Кабель для зарядки Type-C - Type-C, Type-C - Lightning</t>
  </si>
  <si>
    <t>УТ000057878</t>
  </si>
  <si>
    <t>Кабель Type-C - Type-C 60W 6A 1200mm MRM PD88T белый</t>
  </si>
  <si>
    <t>УТ000057877</t>
  </si>
  <si>
    <t>Кабель Type-C - Type-C 60W 6A 1200mm MRM PD88T чёрный</t>
  </si>
  <si>
    <t>УТ000048501</t>
  </si>
  <si>
    <t>Кабель Type-C - Type-C Borofone BX51, 1м, 60W, белый</t>
  </si>
  <si>
    <t>УТ000048502</t>
  </si>
  <si>
    <t>Кабель Type-C - Type-C Borofone BX51, 1м, 60W, чёрный</t>
  </si>
  <si>
    <t>УТ000058380</t>
  </si>
  <si>
    <t>Кабель Type-C - Type-C Borofone BX70, 1м, 60W, силикон, чёрный</t>
  </si>
  <si>
    <t>УТ000053254</t>
  </si>
  <si>
    <t>Кабель Type-C - Type-C Borofone BX80, белый</t>
  </si>
  <si>
    <t>УТ000053255</t>
  </si>
  <si>
    <t>Кабель Type-C - Type-C Borofone BX80, чёрный</t>
  </si>
  <si>
    <t>УТ000058381</t>
  </si>
  <si>
    <t>Кабель Type-C - Type-C Borofone BX84, 1м, 60W, белый</t>
  </si>
  <si>
    <t>УТ000058383</t>
  </si>
  <si>
    <t>Кабель Type-C - Type-C Borofone BX91, 1м, белый, 3.0A, PD60W</t>
  </si>
  <si>
    <t>УТ000058385</t>
  </si>
  <si>
    <t>Кабель Type-C - Type-C Borofone BX93, 1м, белый, 3.0A, PD60W</t>
  </si>
  <si>
    <t>УТ000058386</t>
  </si>
  <si>
    <t>Кабель Type-C - Type-C Borofone BX93, 1м, чёрный, 3.0A, PD60W</t>
  </si>
  <si>
    <t>УТ000050325</t>
  </si>
  <si>
    <t>Кабель Type-C - Type-C Dream PD07, белый</t>
  </si>
  <si>
    <t>УТ000059000</t>
  </si>
  <si>
    <t>Кабель Type-C - Type-C HOCO X37 белый</t>
  </si>
  <si>
    <t>УТ000053259</t>
  </si>
  <si>
    <t>Кабель Type-C - Type-C HOCO X73, чёрный</t>
  </si>
  <si>
    <t>УТ000056437</t>
  </si>
  <si>
    <t>Кабель Type-C - Type-C HOCO X96, 1м, 60W, белый</t>
  </si>
  <si>
    <t>УТ000056436</t>
  </si>
  <si>
    <t>Кабель Type-C - Type-C HOCO X96, 1м, 60W, чёрный</t>
  </si>
  <si>
    <t>УТ000052351</t>
  </si>
  <si>
    <t>Кабель Type-C - Type-C. USB-C/USB-C 1м 12W</t>
  </si>
  <si>
    <t>УТ000052353</t>
  </si>
  <si>
    <t>Кабель Type-C - Type-C. USB-C/USB-C 2м 12W</t>
  </si>
  <si>
    <t>УТ000058997</t>
  </si>
  <si>
    <t>Кабель Type-C- Type-C HOCO X101, серый</t>
  </si>
  <si>
    <t>УТ000058998</t>
  </si>
  <si>
    <t>Кабель Type-C- Type-C HOCO X101, чёрный</t>
  </si>
  <si>
    <t>УТ000058999</t>
  </si>
  <si>
    <t>Кабель Type-C- Type-C HOCO X102, чёрный</t>
  </si>
  <si>
    <t xml:space="preserve"> Кабель для зарядки USB - iPhone, IPad</t>
  </si>
  <si>
    <t xml:space="preserve"> Кабель для зарядки Lightning, 8pin</t>
  </si>
  <si>
    <t>УТ000036239</t>
  </si>
  <si>
    <t>Кабель USB - Lightning Borofone BX14, 1м, белый</t>
  </si>
  <si>
    <t>УТ000034121</t>
  </si>
  <si>
    <t>Кабель USB - Lightning Borofone BX14, 2м, белый</t>
  </si>
  <si>
    <t>УТ000035244</t>
  </si>
  <si>
    <t>Кабель USB - Lightning Borofone BX14, 3м, белый</t>
  </si>
  <si>
    <t>УТ000039749</t>
  </si>
  <si>
    <t>Кабель USB - Lightning Borofone BX16, белый</t>
  </si>
  <si>
    <t>УТ000036206</t>
  </si>
  <si>
    <t>Кабель USB - Lightning Borofone BX16, черный</t>
  </si>
  <si>
    <t>УТ000035245</t>
  </si>
  <si>
    <t>Кабель USB - Lightning Borofone BX17, белый</t>
  </si>
  <si>
    <t>УТ000046424</t>
  </si>
  <si>
    <t>Кабель USB - Lightning Borofone BX17, черный</t>
  </si>
  <si>
    <t>УТ000037629</t>
  </si>
  <si>
    <t>Кабель USB - Lightning Borofone BX18, 1м белый</t>
  </si>
  <si>
    <t>УТ000037630</t>
  </si>
  <si>
    <t>Кабель USB - Lightning Borofone BX18, 2м белый</t>
  </si>
  <si>
    <t>УТ000047636</t>
  </si>
  <si>
    <t>Кабель USB - Lightning Borofone BX18, 3м белый</t>
  </si>
  <si>
    <t>УТ000034508</t>
  </si>
  <si>
    <t>Кабель USB - Lightning Borofone BX25, оплетка нейлон, белый</t>
  </si>
  <si>
    <t>УТ000041699</t>
  </si>
  <si>
    <t>Кабель USB - Lightning Borofone BX25, оплетка нейлон, черный</t>
  </si>
  <si>
    <t>УТ000046416</t>
  </si>
  <si>
    <t>Кабель USB - Lightning Borofone BX30, белый</t>
  </si>
  <si>
    <t>УТ000046417</t>
  </si>
  <si>
    <t>Кабель USB - Lightning Borofone BX30, черный</t>
  </si>
  <si>
    <t>УТ000048722</t>
  </si>
  <si>
    <t>Кабель USB - Lightning Borofone BX35, плоский, белый</t>
  </si>
  <si>
    <t>УТ000043993</t>
  </si>
  <si>
    <t>Кабель USB - Lightning Borofone BX37, белый</t>
  </si>
  <si>
    <t>УТ000044642</t>
  </si>
  <si>
    <t>Кабель USB - Lightning Borofone BX37, черный</t>
  </si>
  <si>
    <t>УТ000045035</t>
  </si>
  <si>
    <t>Кабель USB - Lightning Borofone BX41, магнитный, черный</t>
  </si>
  <si>
    <t>УТ000044641</t>
  </si>
  <si>
    <t>Кабель USB - Lightning Borofone BX43, белый</t>
  </si>
  <si>
    <t>УТ000045038</t>
  </si>
  <si>
    <t>Кабель USB - Lightning Borofone BX54, оплетка, черный</t>
  </si>
  <si>
    <t>УТ000058982</t>
  </si>
  <si>
    <t>Кабель USB - Lightning Borofone BX64, белый</t>
  </si>
  <si>
    <t>УТ000058916</t>
  </si>
  <si>
    <t>Кабель USB - Lightning Borofone BX64, чёрный</t>
  </si>
  <si>
    <t>УТ000053318</t>
  </si>
  <si>
    <t>Кабель USB - Lightning Borofone BX80, белый</t>
  </si>
  <si>
    <t>УТ000053319</t>
  </si>
  <si>
    <t>Кабель USB - Lightning Borofone BX80, черный</t>
  </si>
  <si>
    <t>УТ000051869</t>
  </si>
  <si>
    <t>Кабель USB - Lightning Borofone BX81, диаметр 6mm, черный</t>
  </si>
  <si>
    <t>УТ000054947</t>
  </si>
  <si>
    <t>Кабель USB - Lightning Borofone BX84, 1м, белый</t>
  </si>
  <si>
    <t>УТ000054946</t>
  </si>
  <si>
    <t>Кабель USB - Lightning Borofone BX84, 1м, черный</t>
  </si>
  <si>
    <t>УТ000052067</t>
  </si>
  <si>
    <t>Кабель USB - Lightning Borofone BX85, 1м, плоский, белый</t>
  </si>
  <si>
    <t>УТ000056785</t>
  </si>
  <si>
    <t>Кабель USB - Lightning Borofone BX91, 1м, держатель кабеля, чёрный</t>
  </si>
  <si>
    <t>УТ000058983</t>
  </si>
  <si>
    <t>Кабель USB - Lightning Borofone BX93, 1м, белый</t>
  </si>
  <si>
    <t>УТ000058915</t>
  </si>
  <si>
    <t>Кабель USB - Lightning Borofone BX93, 1м, чёрный</t>
  </si>
  <si>
    <t>УТ000058372</t>
  </si>
  <si>
    <t>Кабель USB - Lightning Borofone BX94, 1м, серый</t>
  </si>
  <si>
    <t>УТ000058373</t>
  </si>
  <si>
    <t>Кабель USB - Lightning Borofone BX99, 1м, чёрный</t>
  </si>
  <si>
    <t>УТ000052335</t>
  </si>
  <si>
    <t>Кабель USB - Lightning Dream A6</t>
  </si>
  <si>
    <t>УТ000040566</t>
  </si>
  <si>
    <t>Кабель USB - Lightning HOCO S8 магнитный, черный</t>
  </si>
  <si>
    <t>УТ000026800</t>
  </si>
  <si>
    <t>Кабель USB - Lightning HOCO U22, черный</t>
  </si>
  <si>
    <t>УТ000028886</t>
  </si>
  <si>
    <t>Кабель USB - Lightning HOCO X1, 2м, белый</t>
  </si>
  <si>
    <t>УТ000028887</t>
  </si>
  <si>
    <t>Кабель USB - Lightning HOCO X1, 3м, белый</t>
  </si>
  <si>
    <t>УТ000058375</t>
  </si>
  <si>
    <t>Кабель USB - Lightning HOCO X101, чёрный</t>
  </si>
  <si>
    <t>УТ000029322</t>
  </si>
  <si>
    <t>Кабель USB - Lightning HOCO X13, черный</t>
  </si>
  <si>
    <t>УТ000031873</t>
  </si>
  <si>
    <t>Кабель USB - Lightning HOCO X14, 2м, красный</t>
  </si>
  <si>
    <t>УТ000026062</t>
  </si>
  <si>
    <t>Кабель USB - Lightning HOCO X20, 2м, белый</t>
  </si>
  <si>
    <t>УТ000026061</t>
  </si>
  <si>
    <t>Кабель USB - Lightning HOCO X20, 2м, черный</t>
  </si>
  <si>
    <t>УТ000027629</t>
  </si>
  <si>
    <t>Кабель USB - Lightning HOCO X20, 3м, белый</t>
  </si>
  <si>
    <t>УТ000027630</t>
  </si>
  <si>
    <t>Кабель USB - Lightning HOCO X20, 3м, черный</t>
  </si>
  <si>
    <t>УТ000030851</t>
  </si>
  <si>
    <t>Кабель USB - Lightning HOCO X24, черный</t>
  </si>
  <si>
    <t>УТ000035213</t>
  </si>
  <si>
    <t>Кабель USB - Lightning HOCO X35, 0,25м, черный</t>
  </si>
  <si>
    <t>УТ000058989</t>
  </si>
  <si>
    <t>Кабель USB - Lightning HOCO X37, 0,5м, 2.4A, силикон, белый</t>
  </si>
  <si>
    <t>УТ000054337</t>
  </si>
  <si>
    <t>Кабель USB - Lightning HOCO X73, силикон белый</t>
  </si>
  <si>
    <t>УТ000056015</t>
  </si>
  <si>
    <t>Кабель USB - Lightning HOCO X96, черный</t>
  </si>
  <si>
    <t>УТ000057880</t>
  </si>
  <si>
    <t>Кабель USB - Lightning MRM MR360i, магнитный, силиконовый, белый</t>
  </si>
  <si>
    <t>УТ000057881</t>
  </si>
  <si>
    <t>Кабель USB - MicroUSB MRM MR360m, магнитный, силиконовый, белый</t>
  </si>
  <si>
    <t>УТ000020767</t>
  </si>
  <si>
    <t>Кабель USB-iPhone 5 Magnetic магнитный</t>
  </si>
  <si>
    <t>УТ000036530</t>
  </si>
  <si>
    <t>Кабель USB-iPhone 5 Moxom магнитный MX-CB-24</t>
  </si>
  <si>
    <t>УТ000024092</t>
  </si>
  <si>
    <t>Кабель USB-iPhone 5 Sendem 1м T1</t>
  </si>
  <si>
    <t xml:space="preserve"> Кабель для зарядки USB - microUSB</t>
  </si>
  <si>
    <t>УТ000034141</t>
  </si>
  <si>
    <t>Кабель USB - MicroUSB Borofone BX1, белый</t>
  </si>
  <si>
    <t>УТ000034142</t>
  </si>
  <si>
    <t>Кабель USB - MicroUSB Borofone BX1, черный</t>
  </si>
  <si>
    <t>УТ000032033</t>
  </si>
  <si>
    <t>Кабель USB - MicroUSB Borofone BX14, 1м белый</t>
  </si>
  <si>
    <t>УТ000036209</t>
  </si>
  <si>
    <t>Кабель USB - MicroUSB Borofone BX14, 2м белый</t>
  </si>
  <si>
    <t>УТ000036220</t>
  </si>
  <si>
    <t>Кабель USB - MicroUSB Borofone BX14, 3м белый</t>
  </si>
  <si>
    <t>УТ000032531</t>
  </si>
  <si>
    <t>Кабель USB - MicroUSB Borofone BX16, черный</t>
  </si>
  <si>
    <t>УТ000037732</t>
  </si>
  <si>
    <t>Кабель USB - MicroUSB Borofone BX17, белый</t>
  </si>
  <si>
    <t>УТ000035284</t>
  </si>
  <si>
    <t>Кабель USB - MicroUSB Borofone BX17, черный</t>
  </si>
  <si>
    <t>УТ000033192</t>
  </si>
  <si>
    <t>Кабель USB - MicroUSB Borofone BX18</t>
  </si>
  <si>
    <t>УТ000036210</t>
  </si>
  <si>
    <t>Кабель USB - MicroUSB Borofone BX18, 2м, силикон, белый</t>
  </si>
  <si>
    <t>УТ000040925</t>
  </si>
  <si>
    <t>Кабель USB - MicroUSB Borofone BX18, 3м, белый</t>
  </si>
  <si>
    <t>УТ000033193</t>
  </si>
  <si>
    <t>Кабель USB - MicroUSB Borofone BX19, белый</t>
  </si>
  <si>
    <t>УТ000032034</t>
  </si>
  <si>
    <t>Кабель USB - MicroUSB Borofone BX19, черный</t>
  </si>
  <si>
    <t>УТ000034518</t>
  </si>
  <si>
    <t>Кабель USB - MicroUSB Borofone BX22, белый</t>
  </si>
  <si>
    <t>УТ000036213</t>
  </si>
  <si>
    <t>Кабель USB - MicroUSB Borofone BX23, плоский, черный</t>
  </si>
  <si>
    <t>УТ000034519</t>
  </si>
  <si>
    <t>Кабель USB - MicroUSB Borofone BX24, оплетка нейлон, золото</t>
  </si>
  <si>
    <t>УТ000034520</t>
  </si>
  <si>
    <t>Кабель USB - MicroUSB Borofone BX24, оплетка нейлон, серый</t>
  </si>
  <si>
    <t>УТ000034143</t>
  </si>
  <si>
    <t>Кабель USB - MicroUSB Borofone BX25, оплетка нейлон, белый</t>
  </si>
  <si>
    <t>УТ000043994</t>
  </si>
  <si>
    <t>Кабель USB - MicroUSB Borofone BX26, угловой оплетка нейлон, золото</t>
  </si>
  <si>
    <t>УТ000036214</t>
  </si>
  <si>
    <t>Кабель USB - MicroUSB Borofone BX28, 3A, красный</t>
  </si>
  <si>
    <t>УТ000034145</t>
  </si>
  <si>
    <t>Кабель USB - MicroUSB Borofone BX28, 3A, серый</t>
  </si>
  <si>
    <t>УТ000057940</t>
  </si>
  <si>
    <t>Кабель USB - microUSB Borofone BX30, 1м, белый</t>
  </si>
  <si>
    <t>УТ000053236</t>
  </si>
  <si>
    <t>Кабель USB - microUSB Borofone BX30, 1м, черный</t>
  </si>
  <si>
    <t>УТ000039755</t>
  </si>
  <si>
    <t>Кабель USB - MicroUSB Borofone BX35 плоский, белый</t>
  </si>
  <si>
    <t>УТ000045028</t>
  </si>
  <si>
    <t>Кабель USB - MicroUSB Borofone BX37, белый</t>
  </si>
  <si>
    <t>УТ000044644</t>
  </si>
  <si>
    <t>Кабель USB - MicroUSB Borofone BX37, черный</t>
  </si>
  <si>
    <t>УТ000050247</t>
  </si>
  <si>
    <t>Кабель USB - MicroUSB Borofone BX38 оплетка, красный</t>
  </si>
  <si>
    <t>УТ000050248</t>
  </si>
  <si>
    <t>Кабель USB - MicroUSB Borofone BX38 оплетка, черный</t>
  </si>
  <si>
    <t>УТ000046089</t>
  </si>
  <si>
    <t>Кабель USB - MicroUSB Borofone BX39, оплетка нейлон, красный</t>
  </si>
  <si>
    <t>УТ000048113</t>
  </si>
  <si>
    <t>Кабель USB - MicroUSB Borofone BX39, оплетка нейлон, черный/белый</t>
  </si>
  <si>
    <t>УТ000047974</t>
  </si>
  <si>
    <t>Кабель USB - MicroUSB Borofone BX43, белый</t>
  </si>
  <si>
    <t>УТ000045046</t>
  </si>
  <si>
    <t>Кабель USB - MicroUSB Borofone BX54, оплетка, черный</t>
  </si>
  <si>
    <t>УТ000045888</t>
  </si>
  <si>
    <t>Кабель USB - MicroUSB Borofone BX59, силикон белый-золото</t>
  </si>
  <si>
    <t>УТ000052441</t>
  </si>
  <si>
    <t>Кабель USB - MicroUSB Borofone BX70, силикон белый</t>
  </si>
  <si>
    <t>УТ000052444</t>
  </si>
  <si>
    <t>Кабель USB - MicroUSB Borofone BX80, белый</t>
  </si>
  <si>
    <t>УТ000052445</t>
  </si>
  <si>
    <t>Кабель USB - MicroUSB Borofone BX80, черный</t>
  </si>
  <si>
    <t>УТ000052072</t>
  </si>
  <si>
    <t>Кабель USB - MicroUSB Borofone BX84, белый</t>
  </si>
  <si>
    <t>УТ000052073</t>
  </si>
  <si>
    <t>Кабель USB - MicroUSB Borofone BX85, плоский, белый</t>
  </si>
  <si>
    <t>УТ000057462</t>
  </si>
  <si>
    <t>Кабель USB - MicroUSB Borofone BX86, белый</t>
  </si>
  <si>
    <t>УТ000057463</t>
  </si>
  <si>
    <t>Кабель USB - MicroUSB Borofone BX86, чёрный</t>
  </si>
  <si>
    <t>УТ000058992</t>
  </si>
  <si>
    <t>Кабель USB - MicroUSB Borofone BX89, зелёный</t>
  </si>
  <si>
    <t>УТ000058993</t>
  </si>
  <si>
    <t>Кабель USB - MicroUSB Borofone BX89, серый</t>
  </si>
  <si>
    <t>УТ000058376</t>
  </si>
  <si>
    <t>Кабель USB - MicroUSB Borofone BX91, белый</t>
  </si>
  <si>
    <t>УТ000058377</t>
  </si>
  <si>
    <t>Кабель USB - MicroUSB Borofone BX91, чёрный</t>
  </si>
  <si>
    <t>УТ000052337</t>
  </si>
  <si>
    <t>Кабель USB - MicroUSB Dream P8, 1м белый</t>
  </si>
  <si>
    <t>УТ000052338</t>
  </si>
  <si>
    <t>Кабель USB - MicroUSB Dream S6, 1м белый</t>
  </si>
  <si>
    <t>УТ000052339</t>
  </si>
  <si>
    <t>Кабель USB - MicroUSB Dream S6, 1м черный</t>
  </si>
  <si>
    <t>УТ000040451</t>
  </si>
  <si>
    <t>Кабель USB - microUSB Dream U40, магнитный, 1м, черный</t>
  </si>
  <si>
    <t>УТ000036840</t>
  </si>
  <si>
    <t>Кабель USB - MicroUSB Dream U40, магнитный, серебро</t>
  </si>
  <si>
    <t>УТ000052341</t>
  </si>
  <si>
    <t>Кабель USB - MicroUSB Dream X5, 1м белый</t>
  </si>
  <si>
    <t>УТ000052342</t>
  </si>
  <si>
    <t>Кабель USB - MicroUSB Dream X5, 1м черный</t>
  </si>
  <si>
    <t>УТ000045428</t>
  </si>
  <si>
    <t>Кабель USB - MicroUSB Fox.N A16 белый</t>
  </si>
  <si>
    <t>УТ000028937</t>
  </si>
  <si>
    <t>Кабель USB - MicroUSB HOCO X1, 2м, силикон, белый</t>
  </si>
  <si>
    <t>УТ000028896</t>
  </si>
  <si>
    <t>Кабель USB - MicroUSB HOCO X1, силикон, белый</t>
  </si>
  <si>
    <t>УТ000028897</t>
  </si>
  <si>
    <t>Кабель USB - MicroUSB HOCO X1, черный</t>
  </si>
  <si>
    <t>УТ000028938</t>
  </si>
  <si>
    <t>Кабель USB - MicroUSB HOCO X13, белый</t>
  </si>
  <si>
    <t>УТ000028513</t>
  </si>
  <si>
    <t>Кабель USB - MicroUSB HOCO X13, черный</t>
  </si>
  <si>
    <t>УТ000026056</t>
  </si>
  <si>
    <t>Кабель USB - MicroUSB HOCO X14, 2м, ткань, черный+красный</t>
  </si>
  <si>
    <t>УТ000027638</t>
  </si>
  <si>
    <t>Кабель USB - MicroUSB HOCO X14, 2м, черный</t>
  </si>
  <si>
    <t>УТ000027631</t>
  </si>
  <si>
    <t>Кабель USB - MicroUSB HOCO X20, 1м, силикон, белый</t>
  </si>
  <si>
    <t>УТ000026063</t>
  </si>
  <si>
    <t>Кабель USB - MicroUSB HOCO X20, 1м, силикон, чёрный</t>
  </si>
  <si>
    <t>УТ000026064</t>
  </si>
  <si>
    <t>Кабель USB - MicroUSB HOCO X20, 2м, силикон, белый</t>
  </si>
  <si>
    <t>УТ000028898</t>
  </si>
  <si>
    <t>Кабель USB - MicroUSB HOCO X20, 2м, силикон, чёрный</t>
  </si>
  <si>
    <t>УТ000028899</t>
  </si>
  <si>
    <t>Кабель USB - MicroUSB HOCO X20, 3м, силикон, белый</t>
  </si>
  <si>
    <t>УТ000028900</t>
  </si>
  <si>
    <t>Кабель USB - MicroUSB HOCO X20, 3м, силикон, чёрный</t>
  </si>
  <si>
    <t>УТ000031878</t>
  </si>
  <si>
    <t>Кабель USB - MicroUSB HOCO X21 SILICONE, белый</t>
  </si>
  <si>
    <t>УТ000031879</t>
  </si>
  <si>
    <t>Кабель USB - MicroUSB HOCO X21 SILICONE, красный</t>
  </si>
  <si>
    <t>УТ000028902</t>
  </si>
  <si>
    <t>Кабель USB - MicroUSB HOCO X25, белый</t>
  </si>
  <si>
    <t>УТ000028514</t>
  </si>
  <si>
    <t>Кабель USB - MicroUSB HOCO X25, черный</t>
  </si>
  <si>
    <t>УТ000031075</t>
  </si>
  <si>
    <t>Кабель USB - MicroUSB HOCO X27, 1м, силикон, белый</t>
  </si>
  <si>
    <t>УТ000031881</t>
  </si>
  <si>
    <t>Кабель USB - MicroUSB HOCO X32, 1м, силикон, белый</t>
  </si>
  <si>
    <t>УТ000058996</t>
  </si>
  <si>
    <t>Кабель USB - MicroUSB HOCO X37, 0,5м, силикон, белый</t>
  </si>
  <si>
    <t>УТ000037039</t>
  </si>
  <si>
    <t>Кабель USB - MicroUSB HOCO X37, 1м, силикон, белый</t>
  </si>
  <si>
    <t>УТ000050257</t>
  </si>
  <si>
    <t>Кабель USB - MicroUSB HOCO X37, черный</t>
  </si>
  <si>
    <t>УТ000034515</t>
  </si>
  <si>
    <t>Кабель USB - MicroUSB HOCO X38, 0,25м, черный</t>
  </si>
  <si>
    <t>УТ000036154</t>
  </si>
  <si>
    <t>Кабель USB - MicroUSB HOCO X40, плоский, черный</t>
  </si>
  <si>
    <t>УТ000047639</t>
  </si>
  <si>
    <t>Кабель USB - MicroUSB HOCO X53, белый</t>
  </si>
  <si>
    <t>УТ000048114</t>
  </si>
  <si>
    <t>Кабель USB - MicroUSB HOCO X53, черный</t>
  </si>
  <si>
    <t>УТ000058378</t>
  </si>
  <si>
    <t>Кабель USB - MicroUSB HOCO X59, 1,0м, ткань,синий</t>
  </si>
  <si>
    <t>УТ000057620</t>
  </si>
  <si>
    <t>Кабель USB - MicroUSB HOCO X59, 2,0м, красный</t>
  </si>
  <si>
    <t>УТ000057467</t>
  </si>
  <si>
    <t>Кабель USB - MicroUSB HOCO X59, 2,0м, синий</t>
  </si>
  <si>
    <t>УТ000050602</t>
  </si>
  <si>
    <t>Кабель USB - MicroUSB HOCO X65, силикон, подсветка, белый</t>
  </si>
  <si>
    <t>УТ000053246</t>
  </si>
  <si>
    <t>Кабель USB - MicroUSB HOCO X70, красный</t>
  </si>
  <si>
    <t>УТ000056786</t>
  </si>
  <si>
    <t>Кабель USB - MicroUSB HOCO X73, чёрный</t>
  </si>
  <si>
    <t>УТ000052075</t>
  </si>
  <si>
    <t>Кабель USB - MicroUSB HOCO X83, 1м, силикон, белый</t>
  </si>
  <si>
    <t>УТ000052074</t>
  </si>
  <si>
    <t>Кабель USB - MicroUSB HOCO X83, 1м, силикон, чёрный</t>
  </si>
  <si>
    <t>УТ000052077</t>
  </si>
  <si>
    <t>Кабель USB - MicroUSB HOCO X84, 1м, силикон, диаметр 6mm, черный</t>
  </si>
  <si>
    <t>УТ000053248</t>
  </si>
  <si>
    <t>Кабель USB - MicroUSB HOCO X85, диаметр 6mm, белый</t>
  </si>
  <si>
    <t>УТ000058780</t>
  </si>
  <si>
    <t>Кабель USB - MicroUSB HOCO X86, белый</t>
  </si>
  <si>
    <t>УТ000058779</t>
  </si>
  <si>
    <t>Кабель USB - MicroUSB HOCO X86, чёрный</t>
  </si>
  <si>
    <t>УТ000051871</t>
  </si>
  <si>
    <t>Кабель USB - MicroUSB HOCO X88, 1м, силикон, белый</t>
  </si>
  <si>
    <t>УТ000051872</t>
  </si>
  <si>
    <t>Кабель USB - MicroUSB HOCO X88, 1м, силикон,чёрный</t>
  </si>
  <si>
    <t>УТ000055941</t>
  </si>
  <si>
    <t>Кабель USB - MicroUSB HOCO X89, черный</t>
  </si>
  <si>
    <t>УТ000056787</t>
  </si>
  <si>
    <t>Кабель USB - MicroUSB HOCO X90, 1м, белый</t>
  </si>
  <si>
    <t>УТ000056788</t>
  </si>
  <si>
    <t>Кабель USB - MicroUSB HOCO X90, 1м, чёрный</t>
  </si>
  <si>
    <t>УТ000057489</t>
  </si>
  <si>
    <t>Кабель USB - Type-C HOCO X70, 1м, 3A, нейлон, красный</t>
  </si>
  <si>
    <t>УТ000006526</t>
  </si>
  <si>
    <t>Кабель USB-MicroUSB 1м 6A чёрный RC60 (10)</t>
  </si>
  <si>
    <t>УТ000057240</t>
  </si>
  <si>
    <t>Кабель USB-MicroUSB 1м 6A чёрный RC70 (10)</t>
  </si>
  <si>
    <t>УТ000057241</t>
  </si>
  <si>
    <t>Кабель USB-MicroUSB 2м 6A чёрный RC70 (10)</t>
  </si>
  <si>
    <t xml:space="preserve"> Кабель для зарядки USB - Type-C</t>
  </si>
  <si>
    <t>УТ000054942</t>
  </si>
  <si>
    <t>Кабель Type-C - Type-C Borofone BX84, 1м, черный 3.0A, PD60W</t>
  </si>
  <si>
    <t>УТ000054941</t>
  </si>
  <si>
    <t>Кабель Type-C - Type-C Borofone BX85, 1м, плоский, белый 3.0A, PD60W</t>
  </si>
  <si>
    <t>УТ000054940</t>
  </si>
  <si>
    <t>Кабель Type-C - Type-C Borofone BX85, 1м, плоский, черный 3.0A, PD60W</t>
  </si>
  <si>
    <t>УТ000058163</t>
  </si>
  <si>
    <t>Кабель USB - Lightning Borofone BX93, 0.25м, 3А, 12W, белый</t>
  </si>
  <si>
    <t>УТ000035271</t>
  </si>
  <si>
    <t>Кабель USB - Type-C Borofone BX1, белый</t>
  </si>
  <si>
    <t>УТ000032038</t>
  </si>
  <si>
    <t>Кабель USB - Type-C Borofone BX14, 1м, белый</t>
  </si>
  <si>
    <t>УТ000035273</t>
  </si>
  <si>
    <t>Кабель USB - Type-C Borofone BX17, 1м, белый</t>
  </si>
  <si>
    <t>УТ000035275</t>
  </si>
  <si>
    <t>Кабель USB - Type-C Borofone BX17, 1м, чёрный</t>
  </si>
  <si>
    <t>УТ000041701</t>
  </si>
  <si>
    <t>Кабель USB - Type-C Borofone BX18, 1м, белый</t>
  </si>
  <si>
    <t>УТ000035278</t>
  </si>
  <si>
    <t>Кабель USB - Type-C Borofone BX21, 1м, оплетка ткань, 3.0A, чёрный+красный</t>
  </si>
  <si>
    <t>УТ000037036</t>
  </si>
  <si>
    <t>Кабель USB - Type-C Borofone BX22, 1м, силикон, 3.0A, белый</t>
  </si>
  <si>
    <t>УТ000034134</t>
  </si>
  <si>
    <t>Кабель USB - Type-C Borofone BX24, оплетка нейлон, серый</t>
  </si>
  <si>
    <t>УТ000035281</t>
  </si>
  <si>
    <t>Кабель USB - Type-C Borofone BX28, 3A, черный-красный</t>
  </si>
  <si>
    <t>УТ000034138</t>
  </si>
  <si>
    <t>Кабель USB - Type-C Borofone BX28, 3A, черный-серый</t>
  </si>
  <si>
    <t>УТ000037640</t>
  </si>
  <si>
    <t>Кабель USB - Type-C Borofone BX30, белый</t>
  </si>
  <si>
    <t>УТ000037642</t>
  </si>
  <si>
    <t>Кабель USB - Type-C Borofone BX30, черный</t>
  </si>
  <si>
    <t>УТ000037643</t>
  </si>
  <si>
    <t>Кабель USB - Type-C Borofone BX33, 5А, белый</t>
  </si>
  <si>
    <t>УТ000048503</t>
  </si>
  <si>
    <t>Кабель USB - Type-C Borofone BX43, 1м, 3A, силикон, белый</t>
  </si>
  <si>
    <t>УТ000053262</t>
  </si>
  <si>
    <t>Кабель USB - Type-C Borofone BX47, белый</t>
  </si>
  <si>
    <t>УТ000053263</t>
  </si>
  <si>
    <t>Кабель USB - Type-C Borofone BX47, чёрный</t>
  </si>
  <si>
    <t>УТ000048777</t>
  </si>
  <si>
    <t>Кабель USB - Type-C Borofone BX48, 1м, 3A, чёрный</t>
  </si>
  <si>
    <t>УТ000048773</t>
  </si>
  <si>
    <t>Кабель USB - Type-C Borofone BX48, белый</t>
  </si>
  <si>
    <t>УТ000059002</t>
  </si>
  <si>
    <t>Кабель USB - Type-C Borofone BX64, белый</t>
  </si>
  <si>
    <t>УТ000059003</t>
  </si>
  <si>
    <t>Кабель USB - Type-C Borofone BX64, чёрный</t>
  </si>
  <si>
    <t>УТ000050608</t>
  </si>
  <si>
    <t>Кабель USB - Type-C Borofone BX65, подсветка, черный</t>
  </si>
  <si>
    <t>УТ000050609</t>
  </si>
  <si>
    <t>Кабель USB - Type-C Borofone BX67, красный</t>
  </si>
  <si>
    <t>УТ000052061</t>
  </si>
  <si>
    <t>Кабель USB - Type-C Borofone BX70, 1м, черный</t>
  </si>
  <si>
    <t>УТ000052059</t>
  </si>
  <si>
    <t>Кабель USB - Type-C Borofone BX80, белый</t>
  </si>
  <si>
    <t>УТ000052058</t>
  </si>
  <si>
    <t>Кабель USB - Type-C Borofone BX80, черный</t>
  </si>
  <si>
    <t>УТ000059004</t>
  </si>
  <si>
    <t>Кабель USB - Type-C Borofone BX82, чёрный</t>
  </si>
  <si>
    <t>УТ000056019</t>
  </si>
  <si>
    <t>Кабель USB - Type-C Borofone BX86, 1м, белый</t>
  </si>
  <si>
    <t>УТ000056789</t>
  </si>
  <si>
    <t>Кабель USB - Type-C Borofone BX89,1м, зелёный 3.0A</t>
  </si>
  <si>
    <t>УТ000056791</t>
  </si>
  <si>
    <t>Кабель USB - Type-C Borofone BX89,1м, серый 3.0A</t>
  </si>
  <si>
    <t>УТ000058147</t>
  </si>
  <si>
    <t>Кабель USB - Type-C Borofone BX90,1м, фиолетовый 3.0A</t>
  </si>
  <si>
    <t>УТ000058148</t>
  </si>
  <si>
    <t>Кабель USB - Type-C Borofone BX92, 1м, 3А, красный</t>
  </si>
  <si>
    <t>УТ000059005</t>
  </si>
  <si>
    <t>Кабель USB - Type-C Borofone BX93, 0.25м, 3А,100W белый</t>
  </si>
  <si>
    <t>УТ000059006</t>
  </si>
  <si>
    <t>Кабель USB - Type-C Borofone BX93, 1м, 3А, чёрный</t>
  </si>
  <si>
    <t>УТ000059007</t>
  </si>
  <si>
    <t>Кабель USB - Type-C Borofone BX94, 1м, силикон, 3A, серый</t>
  </si>
  <si>
    <t>УТ000059008</t>
  </si>
  <si>
    <t>Кабель USB - Type-C Borofone BX98, 1м, 3A, серый</t>
  </si>
  <si>
    <t>УТ000059009</t>
  </si>
  <si>
    <t>Кабель USB - Type-C Borofone BX98, 1м, 3A, чёрный</t>
  </si>
  <si>
    <t>УТ000050326</t>
  </si>
  <si>
    <t>Кабель USB - Type-C Dream BX14, черный</t>
  </si>
  <si>
    <t>УТ000036431</t>
  </si>
  <si>
    <t>Кабель USB - Type-C Dream U40, магнитный, серебро</t>
  </si>
  <si>
    <t>УТ000048925</t>
  </si>
  <si>
    <t>Кабель USB - Type-C FaisON HU31, красный</t>
  </si>
  <si>
    <t>УТ000030310</t>
  </si>
  <si>
    <t>Кабель USB - Type-C HOCO X14, 1м, черный+красный  3.0A</t>
  </si>
  <si>
    <t>УТ000030295</t>
  </si>
  <si>
    <t>Кабель USB - Type-C HOCO X25, белый</t>
  </si>
  <si>
    <t>УТ000036140</t>
  </si>
  <si>
    <t>Кабель USB - Type-C HOCO X26, 1м, ткань, красный</t>
  </si>
  <si>
    <t>УТ000030297</t>
  </si>
  <si>
    <t>Кабель USB - Type-C HOCO X26, 1м, ткань, чёрный+красный</t>
  </si>
  <si>
    <t>УТ000030298</t>
  </si>
  <si>
    <t>Кабель USB - Type-C HOCO X26, 1м, ткань, чёрный-золото</t>
  </si>
  <si>
    <t>УТ000033991</t>
  </si>
  <si>
    <t>Кабель USB - Type-C HOCO X30, черный</t>
  </si>
  <si>
    <t>УТ000039543</t>
  </si>
  <si>
    <t>Кабель USB - Type-C HOCO X37 белый</t>
  </si>
  <si>
    <t>УТ000059001</t>
  </si>
  <si>
    <t>Кабель USB - Type-C HOCO X37, 0,5м белый</t>
  </si>
  <si>
    <t>УТ000035217</t>
  </si>
  <si>
    <t>Кабель USB - Type-C HOCO X38, черный</t>
  </si>
  <si>
    <t>УТ000035218</t>
  </si>
  <si>
    <t>Кабель USB - Type-C HOCO X40, 1м, плоский, 3A, белый</t>
  </si>
  <si>
    <t>УТ000044400</t>
  </si>
  <si>
    <t>Кабель USB - Type-C HOCO X59, красный</t>
  </si>
  <si>
    <t>УТ000054938</t>
  </si>
  <si>
    <t>Кабель USB - Type-C HOCO X73, белый</t>
  </si>
  <si>
    <t>УТ000059010</t>
  </si>
  <si>
    <t>Кабель USB - Type-C HOCO X73, чёрный</t>
  </si>
  <si>
    <t>УТ000053273</t>
  </si>
  <si>
    <t>Кабель USB - Type-C HOCO X84, 1м, силикон, диаметр 6mm, белый</t>
  </si>
  <si>
    <t>УТ000053269</t>
  </si>
  <si>
    <t>Кабель USB - Type-C Hoco X85, 1м, 3.0A, диаметр 6mm, чёрный</t>
  </si>
  <si>
    <t>УТ000056021</t>
  </si>
  <si>
    <t>Кабель USB - Type-C HOCO X93, 1м, 3A, PD27Вт, белый</t>
  </si>
  <si>
    <t>УТ000059011</t>
  </si>
  <si>
    <t>Кабель USB - Type-C HOCO X94 1м, ткань, красный 3.0A</t>
  </si>
  <si>
    <t>УТ000056024</t>
  </si>
  <si>
    <t>Кабель USB - Type-C HOCO X95 1м, ткань, чёрный 3.0A</t>
  </si>
  <si>
    <t>УТ000055298</t>
  </si>
  <si>
    <t>Кабель USB - Type-C HOCO X96 3A, PD27Вт, черный</t>
  </si>
  <si>
    <t>УТ000059013</t>
  </si>
  <si>
    <t>Кабель USB - Type-C HOCO X96 6A, 0,25м, PD100Вт, белый</t>
  </si>
  <si>
    <t>УТ000050327</t>
  </si>
  <si>
    <t>Кабель USB - Type-C QC3.0 Dream C50, черный</t>
  </si>
  <si>
    <t xml:space="preserve"> Коннекторы для магнитного кабеля</t>
  </si>
  <si>
    <t>УТ000040677</t>
  </si>
  <si>
    <t>Коннектор MicroUSB для магнитного кабеля Dream N6</t>
  </si>
  <si>
    <t>УТ000040688</t>
  </si>
  <si>
    <t>Коннектор Type-C для магнитного кабеля Dream</t>
  </si>
  <si>
    <t xml:space="preserve"> Наборы кабелей для зарядки</t>
  </si>
  <si>
    <t>УТ000034125</t>
  </si>
  <si>
    <t>Кабель USB - Apple 8pin - MicroUSB - Type-C Borofone BX17, черный</t>
  </si>
  <si>
    <t>УТ000028509</t>
  </si>
  <si>
    <t>Кабель для зарядки Nokia 6101</t>
  </si>
  <si>
    <t xml:space="preserve"> Переходники для подключения наушников</t>
  </si>
  <si>
    <t xml:space="preserve"> Переходник Lightning</t>
  </si>
  <si>
    <t>УТ000057874</t>
  </si>
  <si>
    <t>Адаптер Lightning с выходом Audio aux и зарядки 8pin GL046</t>
  </si>
  <si>
    <t>УТ000053069</t>
  </si>
  <si>
    <t>Переходник Lightning штекер - 3,5 Jack гнездо</t>
  </si>
  <si>
    <t>УТ000038558</t>
  </si>
  <si>
    <t>Переходник Lightning штекер - 3,5 Jack гнездо Dream LA01 (Bluetooth) белый</t>
  </si>
  <si>
    <t>УТ000045247</t>
  </si>
  <si>
    <t>Переходник Lightning штекер - 3,5 Jack гнездо KIN-179</t>
  </si>
  <si>
    <t>УТ000024125</t>
  </si>
  <si>
    <t>Переходник Lightning штекер - 3,5 Jack гнездо L01</t>
  </si>
  <si>
    <t>УТ000041206</t>
  </si>
  <si>
    <t>Переходник Lightning штекер - Lightning гнездо + 3,5 Jack гнездо Dream AC2  серебро</t>
  </si>
  <si>
    <t>УТ000050805</t>
  </si>
  <si>
    <t>Переходник Lightning штекер - Lightning гнездо + 3,5 Jack гнездо Dream C6 (Bluetooth)</t>
  </si>
  <si>
    <t>УТ000052639</t>
  </si>
  <si>
    <t>Переходник Lightning штекер - Lightning гнездо + 3,5 Jack гнездо Dream C7</t>
  </si>
  <si>
    <t>УТ000050310</t>
  </si>
  <si>
    <t>Переходник Lightning штекер - microUSB гнездо, Dream AL1</t>
  </si>
  <si>
    <t>УТ000045249</t>
  </si>
  <si>
    <t>Переходник-кабель Lightning - 3,5 Jack JH-023, 1м</t>
  </si>
  <si>
    <t xml:space="preserve"> Переходник Type-C</t>
  </si>
  <si>
    <t>УТ000049572</t>
  </si>
  <si>
    <t>Переходник Type-C штекер - 3,5 Jack гнездо Dream Q1</t>
  </si>
  <si>
    <t>УТ000049899</t>
  </si>
  <si>
    <t>Переходник Type-C штекер - 3,5 Jack штекер + Type-C гнездо Dream B4</t>
  </si>
  <si>
    <t>УТ000052894</t>
  </si>
  <si>
    <t>Переходник Type-C штекер - 3,5 Jack штекер + Type-c разветвитель 2в1, черный CQ011</t>
  </si>
  <si>
    <t xml:space="preserve"> Переходники, картридеры, кабели  OTG</t>
  </si>
  <si>
    <t xml:space="preserve"> Переходники Lightning</t>
  </si>
  <si>
    <t>УТ000047147</t>
  </si>
  <si>
    <t>Переходник Lightning штекер - microUSB гнездо</t>
  </si>
  <si>
    <t>УТ000020387</t>
  </si>
  <si>
    <t>Переходник Lightning штекер - microUSB гнездо, OT-SMA06</t>
  </si>
  <si>
    <t>УТ000036185</t>
  </si>
  <si>
    <t>Переходник Lightning штекер - microUSB гнездо, пакет, белый,  CI-0001, Dialog</t>
  </si>
  <si>
    <t>УТ000036186</t>
  </si>
  <si>
    <t>Переходник Lightning штекер - microUSB гнездо, пакет, черный,  CI-0001, Dialog</t>
  </si>
  <si>
    <t>УТ000058686</t>
  </si>
  <si>
    <t>Переходник Lightning/Type-C FC24 35W Fast Charging IOS</t>
  </si>
  <si>
    <t xml:space="preserve"> Переходники microUSB</t>
  </si>
  <si>
    <t>УТ000047148</t>
  </si>
  <si>
    <t>Переходник MicroUSB штекер - Type-C гнездо</t>
  </si>
  <si>
    <t>УТ000053949</t>
  </si>
  <si>
    <t>Переходник OTG micro USB штекер - USB гнездо, Dream G1</t>
  </si>
  <si>
    <t>УТ000058049</t>
  </si>
  <si>
    <t>Переходник OTG micro USB, Type-C - USB 3.0, Dream Style Z33</t>
  </si>
  <si>
    <t>УТ000056220</t>
  </si>
  <si>
    <t>Переходник OTG microUSB штекер - USB 2.0 гнездо</t>
  </si>
  <si>
    <t xml:space="preserve"> Переходники Type-C</t>
  </si>
  <si>
    <t>УТ000059285</t>
  </si>
  <si>
    <t>Адаптер OTG HOCO UA5 Type-C-USB converter чёрный</t>
  </si>
  <si>
    <t>УТ000050309</t>
  </si>
  <si>
    <t>Адаптер Type-C - Type-C гнездо-гнездо, для удлинения кабеля  Dream B8</t>
  </si>
  <si>
    <t>УТ000057758</t>
  </si>
  <si>
    <t>Переходник OTG SK-08 2в1 Micro USB штекер, Type-C штекер - USB 2.0 MF</t>
  </si>
  <si>
    <t>УТ000049898</t>
  </si>
  <si>
    <t>Переходник OTG Type-C гнездо - USB 2.0 штекер, Dream C3</t>
  </si>
  <si>
    <t>УТ000056935</t>
  </si>
  <si>
    <t>Переходник OTG Type-C штекер - USB 2.0 MF</t>
  </si>
  <si>
    <t>УТ000058291</t>
  </si>
  <si>
    <t>Переходник OTG Type-C штекер - USB гнездо, 0.15м, SK-07</t>
  </si>
  <si>
    <t>УТ000049894</t>
  </si>
  <si>
    <t>Переходник Type-C штекер - Type-C гнездо, Dream B5</t>
  </si>
  <si>
    <t>УТ000049896</t>
  </si>
  <si>
    <t>Переходник Type-C штекер - Type-C штекер, Dream B9</t>
  </si>
  <si>
    <t>УТ000045314</t>
  </si>
  <si>
    <t>Переходник USB штекер - Type-C гнездо, Dream PD01</t>
  </si>
  <si>
    <t xml:space="preserve"> Провода питания, переходники для Samsung</t>
  </si>
  <si>
    <t>УТ000014389</t>
  </si>
  <si>
    <t>Кабель USB для Samsung TAB 1м, витой, черный, пакет</t>
  </si>
  <si>
    <t xml:space="preserve"> Смарт часы, фитнес браслеты</t>
  </si>
  <si>
    <t xml:space="preserve"> Аксессуары для часов и браслетов</t>
  </si>
  <si>
    <t>УТ000043050</t>
  </si>
  <si>
    <t>Аккумулятор для Smart часов LQ-S1, 380 мАч Li-ion, черный</t>
  </si>
  <si>
    <t>УТ000043051</t>
  </si>
  <si>
    <t>Аккумулятор для Smart часов LQ-S3</t>
  </si>
  <si>
    <t>УТ000036420</t>
  </si>
  <si>
    <t>Кабель для зарядки фитнес-браслета Mi Band 4 Dream</t>
  </si>
  <si>
    <t>УТ000047185</t>
  </si>
  <si>
    <t>Кабель для зарядки фитнес-браслета Mi Band 5 Dream</t>
  </si>
  <si>
    <t>УТ000040516</t>
  </si>
  <si>
    <t>Кабель для зарядки фитнес-браслета Xiaomi Mi Band 4</t>
  </si>
  <si>
    <t>УТ000040517</t>
  </si>
  <si>
    <t>Кабель для зарядки фитнес-браслета Xiaomi Mi Band 5</t>
  </si>
  <si>
    <t>УТ000048322</t>
  </si>
  <si>
    <t>Ремешок для Apple Watch 38-40, розовый</t>
  </si>
  <si>
    <t>УТ000048329</t>
  </si>
  <si>
    <t>Ремешок для Apple Watch 42-44, голубой</t>
  </si>
  <si>
    <t>УТ000048330</t>
  </si>
  <si>
    <t>Ремешок для Apple Watch 42-44, красный</t>
  </si>
  <si>
    <t>УТ000041372</t>
  </si>
  <si>
    <t>Ремешок для Xiaomi Mi Band 5, черный</t>
  </si>
  <si>
    <t xml:space="preserve"> Фитнес браслеты</t>
  </si>
  <si>
    <t>УТ000049882</t>
  </si>
  <si>
    <t>Фитнес-браслет M7, черный</t>
  </si>
  <si>
    <t>УТ000058222</t>
  </si>
  <si>
    <t>Фитнес-браслет M8, черный</t>
  </si>
  <si>
    <t xml:space="preserve"> Bluetooth адаптеры</t>
  </si>
  <si>
    <t xml:space="preserve"> Bluetooth AUX адаптеры</t>
  </si>
  <si>
    <t>УТ000034553</t>
  </si>
  <si>
    <t>Bluetooth AUX адаптер Dream B01, черный</t>
  </si>
  <si>
    <t>УТ000044151</t>
  </si>
  <si>
    <t>Bluetooth AUX адаптер Dream B02, белый</t>
  </si>
  <si>
    <t>УТ000036303</t>
  </si>
  <si>
    <t>Bluetooth AUX адаптер Dream B02, черный</t>
  </si>
  <si>
    <t>УТ000034554</t>
  </si>
  <si>
    <t>Bluetooth AUX адаптер Dream B09, черный +</t>
  </si>
  <si>
    <t>УТ000050334</t>
  </si>
  <si>
    <t>Bluetooth AUX адаптер Dream BT-530</t>
  </si>
  <si>
    <t xml:space="preserve"> Bluetooth USB адаптеры</t>
  </si>
  <si>
    <t>УТ000036830</t>
  </si>
  <si>
    <t>Bluetooth адаптер USB, Dream B14A (BT4.0)</t>
  </si>
  <si>
    <t>УТ000058188</t>
  </si>
  <si>
    <t>Bluetooth адаптер USB, Dream B16 с кабелем AUX</t>
  </si>
  <si>
    <t>УТ000047186</t>
  </si>
  <si>
    <t>Bluetooth адаптер USB, Dream BT-560, черный-белый</t>
  </si>
  <si>
    <t>УТ000044588</t>
  </si>
  <si>
    <t>Bluetooth адаптер USB, Dream BT12, белый +</t>
  </si>
  <si>
    <t>УТ000035541</t>
  </si>
  <si>
    <t>Bluetooth адаптер USB, OT-PCB10</t>
  </si>
  <si>
    <t xml:space="preserve"> Bluetooth приемники, передатчики, ресиверы</t>
  </si>
  <si>
    <t>УТ000057028</t>
  </si>
  <si>
    <t>Приемник Bluetooth 5.2 аудио-ресивер, MP3 проигрыватель, конвертер 2RCA, AUX, USB, NFC подключение, BLS-B21</t>
  </si>
  <si>
    <t xml:space="preserve"> Аккумуляторы для мобильных устройств</t>
  </si>
  <si>
    <t>УТ000011212</t>
  </si>
  <si>
    <t>Аккумулятор BL-4C 1020 mAh (600mAh)</t>
  </si>
  <si>
    <t>УТ000030835</t>
  </si>
  <si>
    <t>Аккумулятор BL-4C 890 mAh Dream</t>
  </si>
  <si>
    <t>УТ000001668</t>
  </si>
  <si>
    <t>Аккумулятор BL-5B 1020 mAh</t>
  </si>
  <si>
    <t xml:space="preserve"> Внешние аккумуляторы, повер банк</t>
  </si>
  <si>
    <t xml:space="preserve"> Внешние аккумуляторы, ток заряда 2100мА</t>
  </si>
  <si>
    <t>УТ000050565</t>
  </si>
  <si>
    <t>Внешний аккумулятор Borofone BJ 3, 10000mAh, 2USB+Type-C, черный</t>
  </si>
  <si>
    <t>УТ000051099</t>
  </si>
  <si>
    <t>Внешний аккумулятор Borofone BJ 9, 10000mAh, 2USB+Type-C, белый</t>
  </si>
  <si>
    <t>УТ000050215</t>
  </si>
  <si>
    <t>Внешний аккумулятор Borofone BJ 9, 10000mAh, 2USB+Type-C, чёрный</t>
  </si>
  <si>
    <t>УТ000054988</t>
  </si>
  <si>
    <t>Внешний аккумулятор Borofone BJ14 10000mAh 2A, 2USB, Type-C, черный</t>
  </si>
  <si>
    <t>УТ000051962</t>
  </si>
  <si>
    <t>Внешний аккумулятор Borofone BJ16, 10000mAh, белый</t>
  </si>
  <si>
    <t>УТ000054985</t>
  </si>
  <si>
    <t>Внешний аккумулятор Borofone BJ19, 10000mAh, USB+Type-C, PD, QC3.0  белый</t>
  </si>
  <si>
    <t>УТ000050563</t>
  </si>
  <si>
    <t>Внешний аккумулятор Borofone BJ19, 10000mAh, USB+Type-C, PD, QC3.0  черный</t>
  </si>
  <si>
    <t>УТ000053216</t>
  </si>
  <si>
    <t>Внешний аккумулятор Borofone BJ19B, 30000mAh, USB+MicroUSB, PD20W, QC3.0  черный</t>
  </si>
  <si>
    <t>УТ000056736</t>
  </si>
  <si>
    <t>Внешний аккумулятор Borofone BJ19B, 30000mAh, USB+Type-C, PD, QC3.0 белый</t>
  </si>
  <si>
    <t>УТ000056737</t>
  </si>
  <si>
    <t>Внешний аккумулятор Borofone BJ24, 10000mAh, белый</t>
  </si>
  <si>
    <t>УТ000051968</t>
  </si>
  <si>
    <t>Внешний аккумулятор Borofone BJ24A, 20000mAh, белый</t>
  </si>
  <si>
    <t>УТ000051967</t>
  </si>
  <si>
    <t>Внешний аккумулятор Borofone BJ24A, 20000mAh, черный</t>
  </si>
  <si>
    <t>УТ000056738</t>
  </si>
  <si>
    <t>Внешний аккумулятор Borofone BJ27, 10000mAh, белый</t>
  </si>
  <si>
    <t>УТ000055229</t>
  </si>
  <si>
    <t>Внешний аккумулятор Borofone BJ9A, 20000mAh, USB+Type-C, белый</t>
  </si>
  <si>
    <t>УТ000055230</t>
  </si>
  <si>
    <t>Внешний аккумулятор Borofone BJ9A, 20000mAh, USB+Type-C, черный</t>
  </si>
  <si>
    <t>УТ000054981</t>
  </si>
  <si>
    <t>Внешний аккумулятор HOCO 10000mAh, J100, 2xUSB, индикатор, Input microUSB-Type-C, белый</t>
  </si>
  <si>
    <t>УТ000057438</t>
  </si>
  <si>
    <t>Внешний аккумулятор HOCO 10000mAh, J101, QC3.0, PD 20W, белый</t>
  </si>
  <si>
    <t>УТ000055735</t>
  </si>
  <si>
    <t>Внешний аккумулятор HOCO 10000mAh, J101, QC3.0, PD 20W, чёрный</t>
  </si>
  <si>
    <t>УТ000051958</t>
  </si>
  <si>
    <t>Внешний аккумулятор HOCO 10000mAh, J102, PD, QC3.0, белый</t>
  </si>
  <si>
    <t>УТ000055736</t>
  </si>
  <si>
    <t>Внешний аккумулятор HOCO 10000mAh, J102, PD20Вт, QC3.0, чёрный</t>
  </si>
  <si>
    <t>УТ000057439</t>
  </si>
  <si>
    <t>Внешний аккумулятор HOCO 10000mAh, J111, USB+MicroUSB, белый</t>
  </si>
  <si>
    <t>УТ000057440</t>
  </si>
  <si>
    <t>Внешний аккумулятор HOCO 10000mAh, J111, USB+MicroUSB, черный</t>
  </si>
  <si>
    <t>УТ000058954</t>
  </si>
  <si>
    <t>Внешний аккумулятор HOCO 10000mAh, J114, USB+MicroUSB, чёрный</t>
  </si>
  <si>
    <t>УТ000058295</t>
  </si>
  <si>
    <t>Внешний аккумулятор HOCO 10000mAh, J118,  белый</t>
  </si>
  <si>
    <t>УТ000058294</t>
  </si>
  <si>
    <t>Внешний аккумулятор HOCO 10000mAh, J118,  чёрный</t>
  </si>
  <si>
    <t>УТ000054975</t>
  </si>
  <si>
    <t>Внешний аккумулятор HOCO 10000mAh, J91, 2xUSB, белый</t>
  </si>
  <si>
    <t>УТ000057441</t>
  </si>
  <si>
    <t>Внешний аккумулятор HOCO 10000mAh, J91, 2xUSB, чёрный</t>
  </si>
  <si>
    <t>УТ000056432</t>
  </si>
  <si>
    <t>Внешний аккумулятор HOCO 20000mAh, J101A, QC3.0, PD 3.0, белый</t>
  </si>
  <si>
    <t>УТ000055233</t>
  </si>
  <si>
    <t>Внешний аккумулятор HOCO 20000mAh, J101A, QC3.0, PD 3.0, чёрный</t>
  </si>
  <si>
    <t>УТ000056433</t>
  </si>
  <si>
    <t>Внешний аккумулятор HOCO 20000mAh, J102A, PD, QC3.0, белый</t>
  </si>
  <si>
    <t>УТ000056002</t>
  </si>
  <si>
    <t>Внешний аккумулятор HOCO 20000mAh, J108A, PD, QC3.0, белый</t>
  </si>
  <si>
    <t>УТ000056434</t>
  </si>
  <si>
    <t>Внешний аккумулятор HOCO 20000mAh, J59A, 2xUSB, индикатор, чёрный</t>
  </si>
  <si>
    <t>УТ000054974</t>
  </si>
  <si>
    <t>Внешний аккумулятор HOCO 20000mAh, J91A, 2xUSB, черный</t>
  </si>
  <si>
    <t>УТ000056744</t>
  </si>
  <si>
    <t>Внешний аккумулятор HOCO J87B, 30000mAh, USB+Type-C, дисплей, QC3.0 чёрный</t>
  </si>
  <si>
    <t>УТ000032355</t>
  </si>
  <si>
    <t>Внешний аккумулятор RITMIX RPB-5800LT 5800mAh (USB, фонарь, индикатор, магнит) черно-красный</t>
  </si>
  <si>
    <t xml:space="preserve"> Гарнитура Hands Free, микрофоны петличные</t>
  </si>
  <si>
    <t xml:space="preserve"> Гарнитура bluetooth, Hands Free</t>
  </si>
  <si>
    <t>УТ000045803</t>
  </si>
  <si>
    <t>Гарнитура Hands Free Dream CLA6 (Bluetooth) белый</t>
  </si>
  <si>
    <t>УТ000035792</t>
  </si>
  <si>
    <t>Гарнитура Hands Free Dream CLA6 (Bluetooth) чёрный</t>
  </si>
  <si>
    <t>УТ000053951</t>
  </si>
  <si>
    <t>Гарнитура Hands Free Dream MB10</t>
  </si>
  <si>
    <t>УТ000040970</t>
  </si>
  <si>
    <t>Гарнитура беспроводная Hands Free Borofone BC20 (Bluetooth), белый</t>
  </si>
  <si>
    <t>УТ000036204</t>
  </si>
  <si>
    <t>Гарнитура беспроводная Hands Free BOROFONE BC21, белый</t>
  </si>
  <si>
    <t>УТ000043054</t>
  </si>
  <si>
    <t>Гарнитура беспроводная Hands Free BOROFONE BC21, чёрный</t>
  </si>
  <si>
    <t>УТ000049414</t>
  </si>
  <si>
    <t>Гарнитура беспроводная Hands Free Borofone BC28 Shiny Mini (Bluetooth), белый</t>
  </si>
  <si>
    <t>УТ000047972</t>
  </si>
  <si>
    <t>Гарнитура беспроводная Hands Free Borofone BC33 (Bluetooth), черный</t>
  </si>
  <si>
    <t>УТ000053897</t>
  </si>
  <si>
    <t>Гарнитура беспроводная Hands Free CarLive CR14 + FM-трансмиттер</t>
  </si>
  <si>
    <t>УТ000053896</t>
  </si>
  <si>
    <t>Гарнитура беспроводная Hands Free CarLive CR15 + FM-трансмиттер</t>
  </si>
  <si>
    <t>УТ000043696</t>
  </si>
  <si>
    <t>Гарнитура беспроводная Hands Free EZRA BE03</t>
  </si>
  <si>
    <t>УТ000033974</t>
  </si>
  <si>
    <t>Гарнитура беспроводная Hands Free HOCO E36, белый</t>
  </si>
  <si>
    <t>УТ000051877</t>
  </si>
  <si>
    <t>Гарнитура беспроводная Hands Free HOCO E57 (Bluetooth), черный</t>
  </si>
  <si>
    <t>УТ000058130</t>
  </si>
  <si>
    <t>Гарнитура беспроводная Hands Free HOCO E60 (Bluetooth), белый</t>
  </si>
  <si>
    <t>УТ000053222</t>
  </si>
  <si>
    <t>Гарнитура беспроводная Hands Free HOCO E61, белый</t>
  </si>
  <si>
    <t>УТ000051878</t>
  </si>
  <si>
    <t>Гарнитура беспроводная Hands Free HOCO E63, белый</t>
  </si>
  <si>
    <t>УТ000049943</t>
  </si>
  <si>
    <t>Гарнитура беспроводная Hands Free HOCO E64, черный</t>
  </si>
  <si>
    <t xml:space="preserve"> Микрофоны петличные, для смартфонов</t>
  </si>
  <si>
    <t>УТ000053161</t>
  </si>
  <si>
    <t>Микрофон беспроводной петличный K9 Lihting</t>
  </si>
  <si>
    <t>УТ000057347</t>
  </si>
  <si>
    <t>Микрофон петличный разъем Lighnting, 1,5м OT-SML01</t>
  </si>
  <si>
    <t>УТ000057348</t>
  </si>
  <si>
    <t>Микрофон петличный разъем Type-C, 1,5м OT-SML01</t>
  </si>
  <si>
    <t>УТ000048383</t>
  </si>
  <si>
    <t>Микрофон петличный, для смартфона, штекер Jack 3.5 мм, 4 pin, длина 1,5 м, крепление на одежду</t>
  </si>
  <si>
    <t>УТ000048381</t>
  </si>
  <si>
    <t>Микрофон петличный, конденсаторный, штекер Lightning, длина 1,5 м, крепление на одежду</t>
  </si>
  <si>
    <t>УТ000048382</t>
  </si>
  <si>
    <t>Микрофон петличный, конденсаторный, штекер Type-C, длина 1,5 м, крепление на одежду</t>
  </si>
  <si>
    <t xml:space="preserve"> Зарядные устройства</t>
  </si>
  <si>
    <t xml:space="preserve"> Автомобильные зарядные устройства</t>
  </si>
  <si>
    <t xml:space="preserve"> Автомобильные зарядные устройства PD</t>
  </si>
  <si>
    <t>УТ000058948</t>
  </si>
  <si>
    <t>АЗУ на PD Borofone BZ24  PD20Вт, кабель Type-C - Lightning QC3.0, чёрный</t>
  </si>
  <si>
    <t>УТ000057980</t>
  </si>
  <si>
    <t>АЗУ на PD+2USB Dream CH20 скоростная зарядка, чёрный</t>
  </si>
  <si>
    <t>УТ000048075</t>
  </si>
  <si>
    <t>АЗУ на PD+USB Borofone BZ14A белый</t>
  </si>
  <si>
    <t>УТ000047847</t>
  </si>
  <si>
    <t>АЗУ на PD+USB Dream CH17 скоростная зарядка, чёрный</t>
  </si>
  <si>
    <t>УТ000046288</t>
  </si>
  <si>
    <t>АЗУ на PD+USB Dream CH18 скоростная зарядка, черно-белый</t>
  </si>
  <si>
    <t>УТ000058951</t>
  </si>
  <si>
    <t>АЗУ на PD+USB HOCO NZ8 43W QC3.0, синий</t>
  </si>
  <si>
    <t xml:space="preserve"> Автомобильные зарядные устройства USB</t>
  </si>
  <si>
    <t>УТ000045026</t>
  </si>
  <si>
    <t>АЗУ на 2 USB Borofone BZ12A QC3.0, белый</t>
  </si>
  <si>
    <t>УТ000055995</t>
  </si>
  <si>
    <t>АЗУ на 2 USB Borofone BZ19B QC3.0, золото</t>
  </si>
  <si>
    <t>УТ000058952</t>
  </si>
  <si>
    <t>АЗУ на 2 USB Borofone BZ19B QC3.0, синий</t>
  </si>
  <si>
    <t>УТ000040455</t>
  </si>
  <si>
    <t>АЗУ на 2 USB Dream C058, QC3.0, чёрный</t>
  </si>
  <si>
    <t>УТ000057982</t>
  </si>
  <si>
    <t>АЗУ на 2 USB Dream CH22 QC3.0 белый</t>
  </si>
  <si>
    <t>УТ000057983</t>
  </si>
  <si>
    <t>АЗУ на 2 USB Dream CH22 QC3.0 черный</t>
  </si>
  <si>
    <t>УТ000057648</t>
  </si>
  <si>
    <t>АЗУ на 2 USB Dream CH23 QC3.0 белый-золотой</t>
  </si>
  <si>
    <t>УТ000057647</t>
  </si>
  <si>
    <t>АЗУ на 2 USB Dream CH23 QC3.0 чёрно-белый</t>
  </si>
  <si>
    <t>УТ000044140</t>
  </si>
  <si>
    <t>АЗУ на 2 USB Dream HM01, черный</t>
  </si>
  <si>
    <t>УТ000039223</t>
  </si>
  <si>
    <t>АЗУ на 2 USB Dream S39 (LED), дисплей, черный</t>
  </si>
  <si>
    <t>УТ000044361</t>
  </si>
  <si>
    <t>АЗУ на 2 USB Dream SM02, QC 3.0 белый</t>
  </si>
  <si>
    <t>УТ000044368</t>
  </si>
  <si>
    <t>АЗУ на 2 USB Dream SM06, QC3.0</t>
  </si>
  <si>
    <t>УТ000040464</t>
  </si>
  <si>
    <t>АЗУ на 2 USB Dream SM07, белый</t>
  </si>
  <si>
    <t>УТ000041202</t>
  </si>
  <si>
    <t>АЗУ на 2 USB Dream SM09, совместим с ВАЗ</t>
  </si>
  <si>
    <t>УТ000015746</t>
  </si>
  <si>
    <t>АЗУ на 2 USB Griffing</t>
  </si>
  <si>
    <t>УТ000055996</t>
  </si>
  <si>
    <t>АЗУ на 2 USB HOCO Z47 QC3.0, 20W синий</t>
  </si>
  <si>
    <t>УТ000058953</t>
  </si>
  <si>
    <t>АЗУ на 2 USB HOCO Z47A QC3.0, 20W синий</t>
  </si>
  <si>
    <t>УТ000021566</t>
  </si>
  <si>
    <t>АЗУ на 2 USB V-15 (квадратное основание)</t>
  </si>
  <si>
    <t>УТ000052010</t>
  </si>
  <si>
    <t>АЗУ на USB Borofone BZ19A QC3.0, золото</t>
  </si>
  <si>
    <t>УТ000054989</t>
  </si>
  <si>
    <t>АЗУ на USB Borofone BZ19A QC3.0, синий</t>
  </si>
  <si>
    <t>УТ000057649</t>
  </si>
  <si>
    <t>АЗУ на USB Dream CH23 QC3.0 белый-красный</t>
  </si>
  <si>
    <t>УТ000030640</t>
  </si>
  <si>
    <t>АЗУ на USB Dream CH7, черный 2,4А</t>
  </si>
  <si>
    <t>УТ000041331</t>
  </si>
  <si>
    <t>АЗУ на USB Dream SA01 QC3.0</t>
  </si>
  <si>
    <t>УТ000035733</t>
  </si>
  <si>
    <t>АЗУ на USB Dream SM03, бело-черный (QC3.0)</t>
  </si>
  <si>
    <t>УТ000036114</t>
  </si>
  <si>
    <t>АЗУ на USB HOCO Z32 (3000mA), QC3.0, серый</t>
  </si>
  <si>
    <t>УТ000036115</t>
  </si>
  <si>
    <t>АЗУ на USB HOCO Z32 (3000mA), QC3.0, черный</t>
  </si>
  <si>
    <t>УТ000055221</t>
  </si>
  <si>
    <t>АЗУ на USB HOCO Z43 QC3.0, черный</t>
  </si>
  <si>
    <t>УТ000055728</t>
  </si>
  <si>
    <t>АЗУ на USB HOCO Z49A QC3.0, серый</t>
  </si>
  <si>
    <t>УТ000017081</t>
  </si>
  <si>
    <t>АЗУ на USB пуля 1000mAh (упак. 5 шт.)</t>
  </si>
  <si>
    <t>УТ000029172</t>
  </si>
  <si>
    <t>АЗУ с USB портом 2 х USB NOKOKO-09, белый</t>
  </si>
  <si>
    <t xml:space="preserve"> Автомобильные зарядные устройства для мобильных телефонов</t>
  </si>
  <si>
    <t>00000002394</t>
  </si>
  <si>
    <t>АЗУ AMT для SIEMENS C55/S55</t>
  </si>
  <si>
    <t>00000002389</t>
  </si>
  <si>
    <t>АЗУ AVS CNK-6101 для NOKIA A80516S</t>
  </si>
  <si>
    <t>УТ000007029</t>
  </si>
  <si>
    <t>АЗУ GLOSSAR для Nokia 6101 (1/200)</t>
  </si>
  <si>
    <t>00000002384</t>
  </si>
  <si>
    <t>АЗУ LG 3000 (в пакете)</t>
  </si>
  <si>
    <t>00000002385</t>
  </si>
  <si>
    <t>АЗУ LG 7100/7020 (в пакете)</t>
  </si>
  <si>
    <t>00000002387</t>
  </si>
  <si>
    <t>АЗУ MOTOROLA T180/T192/300/330/350/T2288 (в пакете)</t>
  </si>
  <si>
    <t>00000002388</t>
  </si>
  <si>
    <t>АЗУ MOTOROLA T190/T191/C200</t>
  </si>
  <si>
    <t>УТ000008041</t>
  </si>
  <si>
    <t>АЗУ Texet TPC-1020 для NOKIA 6101, 500mA</t>
  </si>
  <si>
    <t>УТ000000670</t>
  </si>
  <si>
    <t>АЗУ для Samsung GAL TAB Defender SAM-01 -5V/1A</t>
  </si>
  <si>
    <t>00410057097</t>
  </si>
  <si>
    <t>АЗУ для Samsung Galaxy Tab S-ITECH SGТ-01</t>
  </si>
  <si>
    <t>УТ000008038</t>
  </si>
  <si>
    <t>АЗУ для Samsung Galaxy TAB Texet 2.1A TPC-1028</t>
  </si>
  <si>
    <t>УТ000047157</t>
  </si>
  <si>
    <t>АЗУ с USB портом 2 х USB + гнездо прикуривателя, KO-30</t>
  </si>
  <si>
    <t>УТ000021567</t>
  </si>
  <si>
    <t>АЗУ с USB портом 2 х USB V-15 (круглое основание)</t>
  </si>
  <si>
    <t xml:space="preserve"> Автомобильные зарядные устройства на mini USB</t>
  </si>
  <si>
    <t>УТ000052648</t>
  </si>
  <si>
    <t>АЗУ на miniUSB LIBERTY PROJECT</t>
  </si>
  <si>
    <t xml:space="preserve"> Автомобильные зарядные устройства на PD + кабель Lightning</t>
  </si>
  <si>
    <t>УТ000053351</t>
  </si>
  <si>
    <t>АЗУ на PD+USB Borofone BZ18A QC3.0 + кабель Type-C-Lightning, белый</t>
  </si>
  <si>
    <t>УТ000057979</t>
  </si>
  <si>
    <t>АЗУ на PD+USB Dream CH21 скоростная зарядка, чёрный</t>
  </si>
  <si>
    <t xml:space="preserve"> Автомобильные зарядные устройства на PD + кабель Type-C</t>
  </si>
  <si>
    <t>УТ000058770</t>
  </si>
  <si>
    <t>АЗУ HOCO Z48 QC3.0, PD40W+ кабель Type-C-Type-C  метал серый</t>
  </si>
  <si>
    <t>УТ000058949</t>
  </si>
  <si>
    <t>АЗУ на 2 PD HOCO Z48 QC3.0, PD40W+ кабель Type-C-Lightning серый</t>
  </si>
  <si>
    <t>УТ000055726</t>
  </si>
  <si>
    <t>АЗУ на PD+USB Borofone BZ18A QC3.0 + кабель Type-C - Type-C, белый</t>
  </si>
  <si>
    <t>УТ000053352</t>
  </si>
  <si>
    <t>АЗУ на PD+USB Borofone BZ18A QC3.0 + кабель Type-C-Type-C, чёрный</t>
  </si>
  <si>
    <t>УТ000056734</t>
  </si>
  <si>
    <t>АЗУ на PD+USB Borofone BZ20 QC3.0 + кабель Type-C, чёрный</t>
  </si>
  <si>
    <t>УТ000058944</t>
  </si>
  <si>
    <t>АЗУ на PD+USB Borofone BZ25 36W QC3.0 + кабель Type-C-Type-C-, чёрный</t>
  </si>
  <si>
    <t>УТ000058946</t>
  </si>
  <si>
    <t>АЗУ на PD+USB HOCO NZ8 43W QC3.0 + кабель Type-C, синий</t>
  </si>
  <si>
    <t>УТ000057245</t>
  </si>
  <si>
    <t>АЗУ на PD+USB HOCO Z46A QC3.0 + кабель Type-C, синий</t>
  </si>
  <si>
    <t>УТ000058947</t>
  </si>
  <si>
    <t>АЗУ на PD+USB HOCO Z50 QC3.0 + кабель Type-C-Type-C, синий</t>
  </si>
  <si>
    <t xml:space="preserve"> Автомобильные зарядные устройства на USB + кабель Lightning</t>
  </si>
  <si>
    <t>УТ000027943</t>
  </si>
  <si>
    <t>АЗУ на  Lightning  + 2 x USB SY-11 (2100mA)</t>
  </si>
  <si>
    <t>УТ000007026</t>
  </si>
  <si>
    <t>АЗУ на  Lightning  GLOSSAR</t>
  </si>
  <si>
    <t>УТ000046403</t>
  </si>
  <si>
    <t>АЗУ на 2 USB Borofone BZ12 + кабель Lightning, белый</t>
  </si>
  <si>
    <t>УТ000046087</t>
  </si>
  <si>
    <t>АЗУ на 2 USB Borofone BZ14 + кабель Lightning, черный</t>
  </si>
  <si>
    <t>УТ000052014</t>
  </si>
  <si>
    <t>АЗУ на 2 USB Borofone BZ19 + кабель Lightning, синий</t>
  </si>
  <si>
    <t>УТ000052012</t>
  </si>
  <si>
    <t>АЗУ на 2 USB Borofone BZ19 + кабель Lightning, чёрный</t>
  </si>
  <si>
    <t>УТ000052013</t>
  </si>
  <si>
    <t>АЗУ на 2 USB Borofone BZ19 QC3.0 + Lightning, золото</t>
  </si>
  <si>
    <t>УТ000047078</t>
  </si>
  <si>
    <t>АЗУ на 2 USB HOCO NZ4 (4800mA) QC 3.0 + кабель Lightning, черный</t>
  </si>
  <si>
    <t>УТ000032462</t>
  </si>
  <si>
    <t>АЗУ на 2 USB HOCO Z1 (2400mA) + кабель Lightning, черный</t>
  </si>
  <si>
    <t>УТ000036110</t>
  </si>
  <si>
    <t>АЗУ на 2 USB HOCO Z23 (2400mA) + кабель Lightning, белый</t>
  </si>
  <si>
    <t>УТ000032223</t>
  </si>
  <si>
    <t>АЗУ на 2 USB HOCO Z2A (2400mA) + кабель Lightning, белый</t>
  </si>
  <si>
    <t>УТ000057431</t>
  </si>
  <si>
    <t>АЗУ на 2 USB HOCO Z49 (2400mA) + кабель Lightning, серый</t>
  </si>
  <si>
    <t>УТ000057432</t>
  </si>
  <si>
    <t>АЗУ на 2 USB HOCO Z49 (2400mA) + кабель Lightning, чёрный</t>
  </si>
  <si>
    <t>УТ000046401</t>
  </si>
  <si>
    <t>АЗУ на Lightning HOCO Z14 (3400mA) + USB порт, белый</t>
  </si>
  <si>
    <t>УТ000045417</t>
  </si>
  <si>
    <t>АЗУ с USB портом Belkin+кабель Lightning, белый</t>
  </si>
  <si>
    <t xml:space="preserve"> Автомобильные зарядные устройства на USB + кабель MicroUSB</t>
  </si>
  <si>
    <t>УТ000030490</t>
  </si>
  <si>
    <t>АЗУ на 2 USB Belkin + кабель витой microUSB, черный</t>
  </si>
  <si>
    <t>УТ000048484</t>
  </si>
  <si>
    <t>АЗУ на 2 USB Borofone BZ14 + кабель Micro, белый</t>
  </si>
  <si>
    <t>УТ000048485</t>
  </si>
  <si>
    <t>АЗУ на 2 USB Borofone BZ14 + кабель Micro, черный</t>
  </si>
  <si>
    <t>УТ000045048</t>
  </si>
  <si>
    <t>АЗУ на 2 USB Borofone BZ15 + кабель microUSB, черный</t>
  </si>
  <si>
    <t>УТ000058940</t>
  </si>
  <si>
    <t>АЗУ на 2 USB Borofone BZ17 + кабель Micro, черный</t>
  </si>
  <si>
    <t>УТ000052017</t>
  </si>
  <si>
    <t>АЗУ на 2 USB Borofone BZ19 + кабель MicroUSB, золото</t>
  </si>
  <si>
    <t>УТ000053208</t>
  </si>
  <si>
    <t>АЗУ на 2 USB Borofone BZ19 + кабель MicroUSB, чёрный</t>
  </si>
  <si>
    <t>УТ000057423</t>
  </si>
  <si>
    <t>АЗУ на 2 USB Borofone BZ19B 36W QC3.0 + кабель MicroUSB, синий</t>
  </si>
  <si>
    <t>УТ000057430</t>
  </si>
  <si>
    <t>АЗУ на 2 USB Borofone BZ21A QC3.0 + кабель MicroUSB, 36W, чёрный</t>
  </si>
  <si>
    <t>УТ000031906</t>
  </si>
  <si>
    <t>АЗУ на 2 USB HOCO Z27 (2400mA) + кабель microUSB, белый</t>
  </si>
  <si>
    <t>УТ000030529</t>
  </si>
  <si>
    <t>АЗУ на 2 USB HOCO Z2A (2400mA) + кабель МicroUSB, белый</t>
  </si>
  <si>
    <t>УТ000044741</t>
  </si>
  <si>
    <t>АЗУ на 2 USB HOCO Z36 (2400mA) + кабель MicroUSB, белый</t>
  </si>
  <si>
    <t>УТ000040328</t>
  </si>
  <si>
    <t>АЗУ на 2 USB HOCO Z36 (2400mA) + кабель MicroUSB, чёрный</t>
  </si>
  <si>
    <t>УТ000050560</t>
  </si>
  <si>
    <t>АЗУ на 2 USB HOCO Z39 (3400mA) QC 3.0 + кабель MicroUSB, синий</t>
  </si>
  <si>
    <t>УТ000044383</t>
  </si>
  <si>
    <t>АЗУ на 2 USB HOCO Z39 (3400mA) QC 3.0 + кабель MicroUSB, черный</t>
  </si>
  <si>
    <t>УТ000058941</t>
  </si>
  <si>
    <t>АЗУ на 2 USB HOCO Z40 (2400mA) + кабель MicroUSB, белый</t>
  </si>
  <si>
    <t>УТ000045972</t>
  </si>
  <si>
    <t>АЗУ на 2 USB HOCO Z40 (2400mA) + кабель MicroUSB, черный</t>
  </si>
  <si>
    <t>УТ000058863</t>
  </si>
  <si>
    <t>АЗУ на 2 USB HOCO Z47 QC 3.0 + кабель MicroUSB, черный</t>
  </si>
  <si>
    <t>УТ000055990</t>
  </si>
  <si>
    <t>АЗУ на 2 USB HOCO Z49 (2400mA) + кабель MicroUSB, серый</t>
  </si>
  <si>
    <t>УТ000055989</t>
  </si>
  <si>
    <t>АЗУ на 2 USB HOCO Z49 (2400mA) + кабель MicroUSB, черный</t>
  </si>
  <si>
    <t>УТ000027942</t>
  </si>
  <si>
    <t>АЗУ на microUSB + 2 x USB SY-10, витой (2100mA)</t>
  </si>
  <si>
    <t>УТ000030052</t>
  </si>
  <si>
    <t>АЗУ на microUSB 4Mobile (2A)</t>
  </si>
  <si>
    <t>УТ000045415</t>
  </si>
  <si>
    <t>АЗУ на microUSB MRM-Power MR-86 + гнездо USB, витой, черный</t>
  </si>
  <si>
    <t>УТ000042922</t>
  </si>
  <si>
    <t>АЗУ на microUSB MRM-Power MR-87 + гнездо USB, витой, белый</t>
  </si>
  <si>
    <t>УТ000044639</t>
  </si>
  <si>
    <t>АЗУ на USB Borofone BZ12A QC3.0 + кабель MicroUSB, белый</t>
  </si>
  <si>
    <t>УТ000054991</t>
  </si>
  <si>
    <t>АЗУ на USB Borofone BZ18 QC3.0 + кабель micro, белый</t>
  </si>
  <si>
    <t>УТ000053354</t>
  </si>
  <si>
    <t>АЗУ на USB Borofone BZ18 QC3.0 + кабель micro, чёрный</t>
  </si>
  <si>
    <t>УТ000052018</t>
  </si>
  <si>
    <t>АЗУ на USB Borofone BZ19 + кабель MicroUSB, синий</t>
  </si>
  <si>
    <t>УТ000052015</t>
  </si>
  <si>
    <t>АЗУ на USB Borofone BZ19A QC3.0 + кабель MicroUSB, золото</t>
  </si>
  <si>
    <t>УТ000053207</t>
  </si>
  <si>
    <t>АЗУ на USB Borofone BZ19A QC3.0 + кабель MicroUSB, чёрный</t>
  </si>
  <si>
    <t>УТ000058939</t>
  </si>
  <si>
    <t>АЗУ на USB Borofone BZ23 QC3.0 + кабель micro USB,чёрный</t>
  </si>
  <si>
    <t>УТ000055983</t>
  </si>
  <si>
    <t>АЗУ на USB HOCO Z49A QC3.0 + кабель MicroUSB, серый</t>
  </si>
  <si>
    <t>УТ000055984</t>
  </si>
  <si>
    <t>АЗУ на USB HOCO Z49A QC3.0 + кабель MicroUSB, черный</t>
  </si>
  <si>
    <t>УТ000026188</t>
  </si>
  <si>
    <t>АЗУ с USB Belkin + кабель microUSB, белый</t>
  </si>
  <si>
    <t>УТ000043017</t>
  </si>
  <si>
    <t>АЗУ с USB Belkin + кабель microUSB, черный</t>
  </si>
  <si>
    <t xml:space="preserve"> Автомобильные зарядные устройства на USB + кабель Type-C</t>
  </si>
  <si>
    <t>УТ000045419</t>
  </si>
  <si>
    <t>АЗУ на 2 USB Belkin + кабель Type-C, белый</t>
  </si>
  <si>
    <t>УТ000045418</t>
  </si>
  <si>
    <t>АЗУ на 2 USB Belkin + кабель Type-C, черный</t>
  </si>
  <si>
    <t>УТ000053213</t>
  </si>
  <si>
    <t>АЗУ на 2 USB Borofone BZ19 + кабель Type-C, чёрный</t>
  </si>
  <si>
    <t>УТ000040930</t>
  </si>
  <si>
    <t>АЗУ на 2 USB HOCO Z36 (2400mA) + кабель Type-C, белый</t>
  </si>
  <si>
    <t>УТ000048071</t>
  </si>
  <si>
    <t>АЗУ на 2 USB HOCO Z36 (2400mA) + кабель Type-C, чёрный</t>
  </si>
  <si>
    <t>УТ000057428</t>
  </si>
  <si>
    <t>АЗУ на 2 USB HOCO Z49 (2400mA) + кабель Type-C, серый</t>
  </si>
  <si>
    <t>УТ000057429</t>
  </si>
  <si>
    <t>АЗУ на 2 USB HOCO Z49 (2400mA) + кабель Type-C, чёрный</t>
  </si>
  <si>
    <t>УТ000040992</t>
  </si>
  <si>
    <t>АЗУ на USB Borofone BZ12A QC3.0 + кабель Type-C, белый</t>
  </si>
  <si>
    <t>УТ000053211</t>
  </si>
  <si>
    <t>АЗУ на USB Borofone BZ18 QC3.0 + кабель Type-C, белый</t>
  </si>
  <si>
    <t>УТ000052023</t>
  </si>
  <si>
    <t>АЗУ на USB Borofone BZ19A + кабель Type-C, золото</t>
  </si>
  <si>
    <t>УТ000052024</t>
  </si>
  <si>
    <t>АЗУ на USB Borofone BZ19A + кабель Type-C, синий</t>
  </si>
  <si>
    <t>УТ000056733</t>
  </si>
  <si>
    <t>АЗУ на USB Borofone BZ20 QC3.0 + кабель Type-C, фиолетовый</t>
  </si>
  <si>
    <t>УТ000057599</t>
  </si>
  <si>
    <t>АЗУ на USB Borofone BZ22 QC3.0 + кабель Type-C- Lightning, черный</t>
  </si>
  <si>
    <t>УТ000057426</t>
  </si>
  <si>
    <t>АЗУ на USB Borofone BZ22A QC3.0 + кабель Type-C-Type-C, белый</t>
  </si>
  <si>
    <t>УТ000058943</t>
  </si>
  <si>
    <t>АЗУ на USB Borofone BZ23 QC3.0 + кабельType-C,чёрный</t>
  </si>
  <si>
    <t>УТ000055991</t>
  </si>
  <si>
    <t>АЗУ на USB HOCO Z49A QC3.0 + кабель Type-C, серый</t>
  </si>
  <si>
    <t>УТ000055992</t>
  </si>
  <si>
    <t>АЗУ на USB HOCO Z49A QC3.0 + кабель Type-C, черный</t>
  </si>
  <si>
    <t xml:space="preserve"> Беспроводные зарядные устройства</t>
  </si>
  <si>
    <t>УТ000058787</t>
  </si>
  <si>
    <t>ЗУ беспроводное Borofone BQ20, быстрая зарядка, черный</t>
  </si>
  <si>
    <t xml:space="preserve"> Сетевые зарядные устройства</t>
  </si>
  <si>
    <t xml:space="preserve"> Сетевые зарядные устройства PD</t>
  </si>
  <si>
    <t>УТ000052355</t>
  </si>
  <si>
    <t>СЗУ H4 на 2 x PD 20W</t>
  </si>
  <si>
    <t>УТ000058791</t>
  </si>
  <si>
    <t>СЗУ на 2 PD (гнездо Type-C) BOROFONE BA76A, QC3.0, белый</t>
  </si>
  <si>
    <t>УТ000058006</t>
  </si>
  <si>
    <t>СЗУ на PD (гнездо Type-C) BOROFONE BA57A, QC3.0, 20W  + Кабель Type-C - Lightning , белый</t>
  </si>
  <si>
    <t>УТ000058005</t>
  </si>
  <si>
    <t>СЗУ на PD (гнездо Type-C) BOROFONE BA61A QC3.0, 10,5W  + Кабель Type-C - Lightning , белый</t>
  </si>
  <si>
    <t>УТ000053953</t>
  </si>
  <si>
    <t>СЗУ на PD (гнездо Type-C) Dream PA4 20W</t>
  </si>
  <si>
    <t>УТ000053954</t>
  </si>
  <si>
    <t>СЗУ на PD (гнездо Type-C) Dream PD01 3A 20W</t>
  </si>
  <si>
    <t>УТ000047183</t>
  </si>
  <si>
    <t>СЗУ на PD (гнездо Type-C) Dream PD09, скоростная зарядка</t>
  </si>
  <si>
    <t>УТ000056058</t>
  </si>
  <si>
    <t>СЗУ на PD (гнездо Type-C) Dream PD10, 50W скоростная зарядка</t>
  </si>
  <si>
    <t>УТ000050316</t>
  </si>
  <si>
    <t>СЗУ на PD (гнездо Type-C) Dream PD8, скоростная зарядка 20W</t>
  </si>
  <si>
    <t>УТ000058749</t>
  </si>
  <si>
    <t>СЗУ на PD (гнездо Type-C) Dream SM05 20W</t>
  </si>
  <si>
    <t>УТ000050862</t>
  </si>
  <si>
    <t>СЗУ на PD (гнездо Type-C) ORIG APL 20W, скоростная зарядка</t>
  </si>
  <si>
    <t>УТ000053586</t>
  </si>
  <si>
    <t>СЗУ на PD 20W, белый MRM XQ50</t>
  </si>
  <si>
    <t xml:space="preserve"> Сетевые зарядные устройства PD + кабель Lightning</t>
  </si>
  <si>
    <t>УТ000056032</t>
  </si>
  <si>
    <t>СЗУ на 2 PD (гнездо Type-C) BOROFONE BA76A, QC3.0 + кабель Type-C - Lightning, белый</t>
  </si>
  <si>
    <t>УТ000056031</t>
  </si>
  <si>
    <t>СЗУ на 2 PD+USB (гнездо Type-C) HOCO C126A, 40W, QC3.0 + кабель Type-C - Lightning, белый</t>
  </si>
  <si>
    <t>УТ000059020</t>
  </si>
  <si>
    <t>СЗУ на PD (гнездо Type-C) + 2USB BOROFONE BA70A PD3.0 + кабель Lightning, белый</t>
  </si>
  <si>
    <t>УТ000059021</t>
  </si>
  <si>
    <t>СЗУ на PD (гнездо Type-C) + 3USB BOROFONE BA79A PD3.0 + кабель Lightning, белый</t>
  </si>
  <si>
    <t>УТ000045173</t>
  </si>
  <si>
    <t>СЗУ на PD (гнездо Type-C) + USB BOROFONE BA46A PD3.0 + кабель Type-C - Lightning, белый</t>
  </si>
  <si>
    <t>УТ000047446</t>
  </si>
  <si>
    <t>СЗУ на PD (гнездо Type-C) + USB BOROFONE BA46A PD3.0 + кабель Type-C - Lightning, черный</t>
  </si>
  <si>
    <t>УТ000053295</t>
  </si>
  <si>
    <t>СЗУ на PD (гнездо Type-C) + USB BOROFONE BN7 QC3.0, + кабель Type-C -  Lightning, белый</t>
  </si>
  <si>
    <t>УТ000045180</t>
  </si>
  <si>
    <t>СЗУ на PD (гнездо Type-C) BOROFONE BA38A PD3.0 + кабель Type-C - Lightning, белый</t>
  </si>
  <si>
    <t>УТ000058857</t>
  </si>
  <si>
    <t>СЗУ на PD (гнездо Type-C) BOROFONE BA65A (3000mA), PD20Вт + кабель Type-C - Lighting белый</t>
  </si>
  <si>
    <t>УТ000055316</t>
  </si>
  <si>
    <t>СЗУ на PD (гнездо Type-C) BOROFONE BA71A QC3.0, PD20Вт + кабель Lightning, черный</t>
  </si>
  <si>
    <t>УТ000059092</t>
  </si>
  <si>
    <t>СЗУ на PD (гнездо Type-C) BOROFONE BA77A , QC3.0, PD30Вт, + кабель Type-C - Lightning, белый</t>
  </si>
  <si>
    <t>УТ000047672</t>
  </si>
  <si>
    <t>СЗУ на PD (гнездо Type-C) HOCO N10 PD (3000mA) + кабель Type-C - Lightning, белый</t>
  </si>
  <si>
    <t>УТ000050267</t>
  </si>
  <si>
    <t>СЗУ на PD (гнездо Type-C)HOCO N14, QC3.0 + кабель Type-C- Lightning, белый</t>
  </si>
  <si>
    <t>УТ000053585</t>
  </si>
  <si>
    <t>СЗУ на PD 20W + кабель Type-C - Lightning, белый MRM XQ50</t>
  </si>
  <si>
    <t>УТ000057526</t>
  </si>
  <si>
    <t>СЗУ на PD BOROFONE BAS15A CQ3.0A + кабель Type-C-Lightning ,чёрный</t>
  </si>
  <si>
    <t xml:space="preserve"> Сетевые зарядные устройства PD + кабель Type-C</t>
  </si>
  <si>
    <t>УТ000058778</t>
  </si>
  <si>
    <t>СЗУ HOCO N29 QC3.0, PD35W+ кабель Type-C-Type-C чёрный</t>
  </si>
  <si>
    <t>УТ000058790</t>
  </si>
  <si>
    <t>СЗУ на 2 PD (гнездо Type-C) BOROFONE BA76A, QC3.0 + кабель Type-C - Type-C , белый</t>
  </si>
  <si>
    <t>УТ000056841</t>
  </si>
  <si>
    <t>СЗУ на PD (гнездо Type-C) BOROFONE BA65A (3000mA), PD20Вт + кабель Type-C, Type-C черный</t>
  </si>
  <si>
    <t>УТ000046904</t>
  </si>
  <si>
    <t>СЗУ на PD+USB HOCO C80A, QC3.0 кабель Type-C - Type-C, белый</t>
  </si>
  <si>
    <t xml:space="preserve"> Сетевые зарядные устройства USB</t>
  </si>
  <si>
    <t>УТ000035233</t>
  </si>
  <si>
    <t>СЗУ на USB BOROFONE BA20A, черный</t>
  </si>
  <si>
    <t>УТ000050619</t>
  </si>
  <si>
    <t>СЗУ на USB BOROFONE BA49A белый</t>
  </si>
  <si>
    <t xml:space="preserve"> Сетевые зарядные устройства USB + кабель Lightning</t>
  </si>
  <si>
    <t>УТ000014204</t>
  </si>
  <si>
    <t>СЗУ на  Lightning Afka-Tech  (*`)</t>
  </si>
  <si>
    <t>УТ000037624</t>
  </si>
  <si>
    <t>СЗУ на 2 USB BOROFONE BA25A + кабель Lightning, черный</t>
  </si>
  <si>
    <t>УТ000048518</t>
  </si>
  <si>
    <t>СЗУ на 2 USB BOROFONE BN2 + кабель Lightning, черный</t>
  </si>
  <si>
    <t>УТ000034494</t>
  </si>
  <si>
    <t>СЗУ на 2 USB HOCO C73A + кабель Lightning, белый</t>
  </si>
  <si>
    <t>УТ000051135</t>
  </si>
  <si>
    <t>СЗУ на 2 USB HOCO C88A + кабель Lightning, белый</t>
  </si>
  <si>
    <t>УТ000048519</t>
  </si>
  <si>
    <t>СЗУ на 2 USB HOCO C88A + кабель Lightning, черный</t>
  </si>
  <si>
    <t>УТ000049185</t>
  </si>
  <si>
    <t>СЗУ на 2 USB HOCO N7 + кабель Lightning (2100mAh), белый</t>
  </si>
  <si>
    <t>УТ000037617</t>
  </si>
  <si>
    <t>СЗУ на USB BOROFONE BA20A + кабель Lightning, белый</t>
  </si>
  <si>
    <t>УТ000043999</t>
  </si>
  <si>
    <t>СЗУ на USB BOROFONE BA20A + кабель Lightning, черный</t>
  </si>
  <si>
    <t>УТ000055760</t>
  </si>
  <si>
    <t>СЗУ на USB BOROFONE BA48A + кабель Lightning , черный</t>
  </si>
  <si>
    <t>УТ000049988</t>
  </si>
  <si>
    <t>СЗУ на USB BOROFONE BA49A + кабель  Lightning, белый</t>
  </si>
  <si>
    <t>УТ000049957</t>
  </si>
  <si>
    <t>СЗУ на USB BOROFONE BA49A + кабель Lightning, черный</t>
  </si>
  <si>
    <t>УТ000051875</t>
  </si>
  <si>
    <t>СЗУ на USB BOROFONE BA52A + кабель Lightning, белый</t>
  </si>
  <si>
    <t>УТ000045881</t>
  </si>
  <si>
    <t>СЗУ на USB BOROFONE BA52A + кабель Lightning, черный</t>
  </si>
  <si>
    <t>УТ000052039</t>
  </si>
  <si>
    <t>СЗУ на USB BOROFONE BA64A + кабель Lightning, черный</t>
  </si>
  <si>
    <t>УТ000053325</t>
  </si>
  <si>
    <t>СЗУ на USB BOROFONE BA68A + кабель Lightning, белый</t>
  </si>
  <si>
    <t>УТ000053326</t>
  </si>
  <si>
    <t>СЗУ на USB BOROFONE BA68A + кабель Lightning, черный</t>
  </si>
  <si>
    <t>УТ000058393</t>
  </si>
  <si>
    <t>СЗУ на USB BOROFONE BAS11A 2.1A + кабель Lightning, чёрный</t>
  </si>
  <si>
    <t>УТ000058776</t>
  </si>
  <si>
    <t>СЗУ на USB HOCO C106A + кабель Lightning (2100mAh), белый</t>
  </si>
  <si>
    <t>УТ000034490</t>
  </si>
  <si>
    <t>СЗУ на USB HOCO C72A + кабель Lightning, белый</t>
  </si>
  <si>
    <t>УТ000052041</t>
  </si>
  <si>
    <t>СЗУ на USB HOCO C96A + кабель Lightning, белый</t>
  </si>
  <si>
    <t>УТ000055761</t>
  </si>
  <si>
    <t>СЗУ на USB HOCO C96A + кабель Lightning, черный</t>
  </si>
  <si>
    <t>УТ000022966</t>
  </si>
  <si>
    <t>СЗУ на USB Remaks RM7185 + кабель Lightning  (1000mA) (*`)</t>
  </si>
  <si>
    <t xml:space="preserve"> Сетевые зарядные устройства USB + кабель MicroUSB</t>
  </si>
  <si>
    <t>УТ000039780</t>
  </si>
  <si>
    <t>СЗУ на 2 USB BOROFONE BA37A + кабель MicroUSB, белый</t>
  </si>
  <si>
    <t>УТ000044858</t>
  </si>
  <si>
    <t>СЗУ на 2 USB BOROFONE BA53A + кабель MicroUSB, белый</t>
  </si>
  <si>
    <t>УТ000054932</t>
  </si>
  <si>
    <t>СЗУ на 2 USB HOCO N25 MAKER (3000mAh) + кабель microUSB, белый</t>
  </si>
  <si>
    <t>УТ000034018</t>
  </si>
  <si>
    <t>СЗУ на microUSB HOCO C59A + 2 USB (2400mA), белый</t>
  </si>
  <si>
    <t>УТ000046453</t>
  </si>
  <si>
    <t>СЗУ на microUSB Remaks SR-08 + гнездо USB (2100mA)</t>
  </si>
  <si>
    <t>УТ000046454</t>
  </si>
  <si>
    <t>СЗУ на microUSB Remaks SR-09 + гнездо USB (2100mA)</t>
  </si>
  <si>
    <t>УТ000053327</t>
  </si>
  <si>
    <t>СЗУ на USB BOROFONE BA36A QC3.0 + кабель microUSB, белый</t>
  </si>
  <si>
    <t>УТ000043997</t>
  </si>
  <si>
    <t>СЗУ на USB BOROFONE BA36A QC3.0 + кабель microUSB, черный</t>
  </si>
  <si>
    <t>УТ000053278</t>
  </si>
  <si>
    <t>СЗУ на USB BOROFONE BA47A + кабель MicroUSB, белый</t>
  </si>
  <si>
    <t>УТ000049408</t>
  </si>
  <si>
    <t>СЗУ на USB BOROFONE BA49A + кабель MicroUSB, черный</t>
  </si>
  <si>
    <t>УТ000054936</t>
  </si>
  <si>
    <t>СЗУ на USB BOROFONE BA66A QC3.0 + кабель microUSB, белый</t>
  </si>
  <si>
    <t>УТ000057510</t>
  </si>
  <si>
    <t>СЗУ на USB BOROFONE BAS11A 2.1A + кабель MicroUSB, белый</t>
  </si>
  <si>
    <t>УТ000057511</t>
  </si>
  <si>
    <t>СЗУ на USB BOROFONE BAS11A 2.1A + кабель MicroUSB, чёрный</t>
  </si>
  <si>
    <t>УТ000057512</t>
  </si>
  <si>
    <t>СЗУ на USB BOROFONE BAS12A 2.1A + кабель MicroUSB, белый</t>
  </si>
  <si>
    <t>УТ000057513</t>
  </si>
  <si>
    <t>СЗУ на USB BOROFONE BAS12A 2.1A + кабель MicroUSB, чёрный</t>
  </si>
  <si>
    <t>УТ000042652</t>
  </si>
  <si>
    <t>СЗУ на USB HOCO C12Q, QC3.0 + кабель microUSB, черный</t>
  </si>
  <si>
    <t>УТ000040931</t>
  </si>
  <si>
    <t>СЗУ на USB HOCO C72Q, Glorious QC3.0 + кабель microUSB, белый</t>
  </si>
  <si>
    <t>УТ000040932</t>
  </si>
  <si>
    <t>СЗУ на USB HOCO C72Q, Glorious QC3.0 + кабель microUSB, черный</t>
  </si>
  <si>
    <t>УТ000054935</t>
  </si>
  <si>
    <t>СЗУ на USB HOCO C98A 3000mA + кабель microUSB, белый</t>
  </si>
  <si>
    <t>УТ000058153</t>
  </si>
  <si>
    <t>СЗУ на USB HOCO CS12A, QC3.0, 18w + кабель MicroUSB, белый</t>
  </si>
  <si>
    <t>УТ000059018</t>
  </si>
  <si>
    <t>СЗУ на USB HOCO CS12A, QC3.0, 18w + кабель MicroUSB, чёрный</t>
  </si>
  <si>
    <t>УТ000054934</t>
  </si>
  <si>
    <t>СЗУ на USB HOCO N26 MAXIM (3000mAh) QC3.0, PD18Вт+ кабель microUSB, белый</t>
  </si>
  <si>
    <t>УТ000042104</t>
  </si>
  <si>
    <t>СЗУ на USB TAB P1000 + кабель microUSB</t>
  </si>
  <si>
    <t xml:space="preserve"> Сетевые зарядные устройства USB + кабель Type-C</t>
  </si>
  <si>
    <t>УТ000055304</t>
  </si>
  <si>
    <t>СЗУ на 2 PD+USB HOCO C99A, QC3.0 + кабель MicroUSB (3000mAh), белый</t>
  </si>
  <si>
    <t>УТ000044856</t>
  </si>
  <si>
    <t>СЗУ на 2 USB BOROFONE BA53A + кабель Type-C, белый</t>
  </si>
  <si>
    <t>УТ000044857</t>
  </si>
  <si>
    <t>СЗУ на 2 USB BOROFONE BA53A + кабель Type-C, черный</t>
  </si>
  <si>
    <t>УТ000034495</t>
  </si>
  <si>
    <t>СЗУ на 2 USB HOCO C73A + кабель Type-C, белый</t>
  </si>
  <si>
    <t>УТ000048601</t>
  </si>
  <si>
    <t>СЗУ на 2 USB HOCO C88A + кабель Type-C, черный</t>
  </si>
  <si>
    <t>УТ000037618</t>
  </si>
  <si>
    <t>СЗУ на USB BOROFONE BA20A + кабель Type-C, белый</t>
  </si>
  <si>
    <t>УТ000037619</t>
  </si>
  <si>
    <t>СЗУ на USB BOROFONE BA20A + кабель Type-C, чёрный</t>
  </si>
  <si>
    <t>УТ000045030</t>
  </si>
  <si>
    <t>СЗУ на USB BOROFONE BA32A QC3.0 + кабель Type-C, белый</t>
  </si>
  <si>
    <t>УТ000048509</t>
  </si>
  <si>
    <t>СЗУ на USB BOROFONE BA49A + кабель Type-C, белый</t>
  </si>
  <si>
    <t>УТ000045965</t>
  </si>
  <si>
    <t>СЗУ на USB BOROFONE BA49A + кабель Type-C, черный</t>
  </si>
  <si>
    <t>УТ000049409</t>
  </si>
  <si>
    <t>СЗУ на USB BOROFONE BA52A + кабель Type-C, белый</t>
  </si>
  <si>
    <t>УТ000049410</t>
  </si>
  <si>
    <t>СЗУ на USB BOROFONE BA52A + кабель Type-C, черный</t>
  </si>
  <si>
    <t>УТ000052053</t>
  </si>
  <si>
    <t>СЗУ на USB BOROFONE BA64A + кабель Type-C, белый</t>
  </si>
  <si>
    <t>УТ000055307</t>
  </si>
  <si>
    <t>СЗУ на USB BOROFONE BA64A + кабель Type-C, черный</t>
  </si>
  <si>
    <t>УТ000052055</t>
  </si>
  <si>
    <t>СЗУ на USB BOROFONE BA68A + кабель Type-C, белый</t>
  </si>
  <si>
    <t>УТ000052054</t>
  </si>
  <si>
    <t>СЗУ на USB BOROFONE BA68A + кабель Type-C, черный</t>
  </si>
  <si>
    <t>УТ000055308</t>
  </si>
  <si>
    <t>СЗУ на USB BOROFONE BA74A + кабель Type-C, белый</t>
  </si>
  <si>
    <t>УТ000057516</t>
  </si>
  <si>
    <t>СЗУ на USB BOROFONE BAS15A CQ3.0A + кабель Type-C,чёрный</t>
  </si>
  <si>
    <t>УТ000045182</t>
  </si>
  <si>
    <t>СЗУ на USB HOCO C81A + кабель Type-C (2100mA), белый</t>
  </si>
  <si>
    <t>УТ000053283</t>
  </si>
  <si>
    <t>СЗУ на USB HOCO C96A 2100mA + кабель USB - Type-C, чёрный</t>
  </si>
  <si>
    <t>УТ000053285</t>
  </si>
  <si>
    <t>СЗУ на USB HOCO C96A 2100mA пластик + кабель USB - Type-C, белый</t>
  </si>
  <si>
    <t>УТ000058388</t>
  </si>
  <si>
    <t>СЗУ на USB HOCO CS11A + кабель Type-C (2100mAh), чёрный</t>
  </si>
  <si>
    <t>УТ000057761</t>
  </si>
  <si>
    <t>СЗУ на USB MI 120 W+Кабель Type-C, белый</t>
  </si>
  <si>
    <t xml:space="preserve"> Сетевые зарядные устройства, лягушка</t>
  </si>
  <si>
    <t>УТ000013968</t>
  </si>
  <si>
    <t>СЗУ для всех типов АКБ универсальная (лягушка)</t>
  </si>
  <si>
    <t>УТ000054238</t>
  </si>
  <si>
    <t>СЗУ для всех типов АКБ универсальная Dream L11</t>
  </si>
  <si>
    <t xml:space="preserve"> Защитные стекла, пленки</t>
  </si>
  <si>
    <t xml:space="preserve"> Защитная пленка</t>
  </si>
  <si>
    <t>УТ000008331</t>
  </si>
  <si>
    <t>Комплект матовых плёнок ACTIV для Apple iPhone 6 (экран/панель) Китай</t>
  </si>
  <si>
    <t>УТ000008332</t>
  </si>
  <si>
    <t>Комплект матовых плёнок ACTIV для Apple iPhone 6 Plus (экран/панель) Китай</t>
  </si>
  <si>
    <t>УТ000008336</t>
  </si>
  <si>
    <t>Набор прозрачных плёнок ACTIV 3 в 1 для Apple IPhone 6</t>
  </si>
  <si>
    <t>УТ000008337</t>
  </si>
  <si>
    <t>Набор прозрачных плёнок ACTIV 3 в 1 для Apple IPhone 6 Plus</t>
  </si>
  <si>
    <t>УТ000008338</t>
  </si>
  <si>
    <t>Набор прозрачных плёнок ACTIV для Apple IPhone 6 Plus (экран/панель)</t>
  </si>
  <si>
    <t>УТ000001570</t>
  </si>
  <si>
    <t>Пленка защитная ACTIV Diamond для Apple iPad 2 Китай</t>
  </si>
  <si>
    <t>УТ000008333</t>
  </si>
  <si>
    <t>Пленка защитная ACTIV матовая для Apple iPhone 6</t>
  </si>
  <si>
    <t>УТ000008334</t>
  </si>
  <si>
    <t>Пленка защитная ACTIV матовая для Apple iPhone 6 Plus</t>
  </si>
  <si>
    <t>УТ000002845</t>
  </si>
  <si>
    <t>Пленка защитная ACTIV прозрачная для HTC Desire S</t>
  </si>
  <si>
    <t>УТ000002846</t>
  </si>
  <si>
    <t>Пленка защитная ACTIV прозрачная для HTC Desire Z</t>
  </si>
  <si>
    <t>УТ000001359</t>
  </si>
  <si>
    <t>Пленка защитная ACTIV прозрачная универсальная 4.0''</t>
  </si>
  <si>
    <t xml:space="preserve"> Защитное стекло для других устройств</t>
  </si>
  <si>
    <t>УТ000025835</t>
  </si>
  <si>
    <t>Стекло жидкое защитное NANO для смартфона универсальное LANBI</t>
  </si>
  <si>
    <t xml:space="preserve"> Защитные стела</t>
  </si>
  <si>
    <t>УТ000028483</t>
  </si>
  <si>
    <t>Стекло защитное универсальное 6.3" (*`)</t>
  </si>
  <si>
    <t>УТ000029832</t>
  </si>
  <si>
    <t>Стекло защитное универсальное 7,8 Universal</t>
  </si>
  <si>
    <t>УТ000029833</t>
  </si>
  <si>
    <t>Стекло защитное универсальное 7.5` Universal</t>
  </si>
  <si>
    <t xml:space="preserve"> Кольца-держатели, попсокеты</t>
  </si>
  <si>
    <t>УТ000037141</t>
  </si>
  <si>
    <t>Держатель для телефона Popsocket в ассортименте (5)</t>
  </si>
  <si>
    <t xml:space="preserve"> Подставки, держатели для телефонов</t>
  </si>
  <si>
    <t>УТ000051771</t>
  </si>
  <si>
    <t>Держатель для кабелей Dream C8</t>
  </si>
  <si>
    <t>УТ000055741</t>
  </si>
  <si>
    <t>Держатель мобильного телефона HOCO HD1, черный</t>
  </si>
  <si>
    <t>УТ000056014</t>
  </si>
  <si>
    <t>Держатель мобильного телефона HOCO HD6, белый</t>
  </si>
  <si>
    <t>УТ000055742</t>
  </si>
  <si>
    <t>Держатель мобильного телефона HOCO PH50, метал, белый</t>
  </si>
  <si>
    <t>УТ000056998</t>
  </si>
  <si>
    <t>Держатель мобильного телефона настольный G9</t>
  </si>
  <si>
    <t>УТ000053228</t>
  </si>
  <si>
    <t>Держатель настольный для телефона Borofone BH75, белый</t>
  </si>
  <si>
    <t>УТ000053229</t>
  </si>
  <si>
    <t>Держатель настольный для телефона Borofone BH75, чёрный</t>
  </si>
  <si>
    <t>УТ000057947</t>
  </si>
  <si>
    <t>Подставка для смартфона настольная Borofone BH27 чёрная</t>
  </si>
  <si>
    <t>УТ000043144</t>
  </si>
  <si>
    <t>Подставка для телефона S059</t>
  </si>
  <si>
    <t xml:space="preserve"> Прочие аксессуары</t>
  </si>
  <si>
    <t>00410051334</t>
  </si>
  <si>
    <t>DATA кабель LG</t>
  </si>
  <si>
    <t>00410051336</t>
  </si>
  <si>
    <t>DATA кабель для Samsung (D808)</t>
  </si>
  <si>
    <t>УТ000044771</t>
  </si>
  <si>
    <t>Иглы для снятия сим-карт (упак. 5шт.)</t>
  </si>
  <si>
    <t xml:space="preserve"> Селфи штатив (моноподы), вспышки, линзы</t>
  </si>
  <si>
    <t xml:space="preserve"> Кольцевые лампы, световые кольца, вспышки</t>
  </si>
  <si>
    <t>УТ000058540</t>
  </si>
  <si>
    <t>Прожектор светодиодный Pro LED 600 для фото и видеосъемки</t>
  </si>
  <si>
    <t>УТ000058539</t>
  </si>
  <si>
    <t>Прожектор светодиодный Pro LED 800 для фото и видеосъемки</t>
  </si>
  <si>
    <t xml:space="preserve"> Моноподы для телефонов</t>
  </si>
  <si>
    <t>УТ000056243</t>
  </si>
  <si>
    <t>Монопод для селфи с кнопкой на ручке Q7 Bluetooth</t>
  </si>
  <si>
    <t>УТ000048504</t>
  </si>
  <si>
    <t>Селфи штатив, монопод Hoco K17 Bluetooth., черный</t>
  </si>
  <si>
    <t xml:space="preserve"> Штативы, триноги, стойки</t>
  </si>
  <si>
    <t>УТ000049290</t>
  </si>
  <si>
    <t>Гибкий штатив для телефона или фотоаппарата</t>
  </si>
  <si>
    <t>УТ000049273</t>
  </si>
  <si>
    <t>Держатель-клипса для моноподов и триподов Dream D7</t>
  </si>
  <si>
    <t>УТ000037151</t>
  </si>
  <si>
    <t>Кронштейн, держатель для крепления телефонов и планшетов на штатив D6 (5,5-8,5см/11-18см)</t>
  </si>
  <si>
    <t>УТ000042093</t>
  </si>
  <si>
    <t>Монопод, штатив, трипод K07</t>
  </si>
  <si>
    <t>УТ000035983</t>
  </si>
  <si>
    <t>Штатив, стойка 2,1м черный, хорошее качество</t>
  </si>
  <si>
    <t>УТ000016825</t>
  </si>
  <si>
    <t>Штатив, трипод 3110 уровень поверхности, возможность установки телефона</t>
  </si>
  <si>
    <t>УТ000058193</t>
  </si>
  <si>
    <t>Штатив, трипод Dream TR21, черный</t>
  </si>
  <si>
    <t>УТ000058035</t>
  </si>
  <si>
    <t>Штатив, трипод для смартфонов Dream D7, чёрный</t>
  </si>
  <si>
    <t>УТ000031985</t>
  </si>
  <si>
    <t>Штатив, трипод для смартфонов Dream FP1, чёрный</t>
  </si>
  <si>
    <t xml:space="preserve"> Чехлы</t>
  </si>
  <si>
    <t xml:space="preserve"> Чехлы для телефонов универсальные</t>
  </si>
  <si>
    <t>УТ000037281</t>
  </si>
  <si>
    <t>Накладка универсальная 5.0-5.3 Jidanke 002</t>
  </si>
  <si>
    <t>УТ000025734</t>
  </si>
  <si>
    <t>Накладка универсальная 5.0-5.3 Jidanke 003</t>
  </si>
  <si>
    <t>УТ000025735</t>
  </si>
  <si>
    <t>Накладка универсальная 5.0-5.3 Jidanke 007</t>
  </si>
  <si>
    <t>УТ000037282</t>
  </si>
  <si>
    <t>Накладка универсальная 5.3-5.6 Jidanke 002</t>
  </si>
  <si>
    <t>УТ000025737</t>
  </si>
  <si>
    <t>Накладка универсальная 5.3-5.6 Jidanke 003</t>
  </si>
  <si>
    <t>УТ000037283</t>
  </si>
  <si>
    <t>Накладка универсальная 5.3-5.6 Jidanke 007</t>
  </si>
  <si>
    <t>УТ000026261</t>
  </si>
  <si>
    <t>Накладка универсальная Activ ASC-102 3.5-4.0 белый</t>
  </si>
  <si>
    <t>УТ000026260</t>
  </si>
  <si>
    <t>Накладка универсальная Activ ASC-102 3.5-4.0 синий</t>
  </si>
  <si>
    <t>УТ000026277</t>
  </si>
  <si>
    <t>Накладка универсальная Activ UniC-203 4.3-4.7 синий</t>
  </si>
  <si>
    <t>УТ000030506</t>
  </si>
  <si>
    <t>Чехол универсальный 4.0-4.5 Dream, золото</t>
  </si>
  <si>
    <t>УТ000030509</t>
  </si>
  <si>
    <t>Чехол универсальный 4.0-4.5 Dream, с кольцом, черный (техпак)</t>
  </si>
  <si>
    <t>УТ000025691</t>
  </si>
  <si>
    <t>Чехол-книжка универсальная 4.3-5.5 ACTIV Magic Element (gray)</t>
  </si>
  <si>
    <t xml:space="preserve"> Чехлы для телефонов</t>
  </si>
  <si>
    <t>УТ000008087</t>
  </si>
  <si>
    <t>Накладка задняя ультратонкая для Samsung N9000 Galaxy Note3 BRERA Nylon Slim желтый</t>
  </si>
  <si>
    <t>УТ000032834</t>
  </si>
  <si>
    <t>Накладка как стекло силиконовые края для iPhone 7/8, красная</t>
  </si>
  <si>
    <t>УТ000032300</t>
  </si>
  <si>
    <t>Накладка как стекло силиконовые края для iPhone X/XS, желтая</t>
  </si>
  <si>
    <t>УТ000032839</t>
  </si>
  <si>
    <t>Накладка кожа с логотипом для iPhone 7/8, черная, техпак</t>
  </si>
  <si>
    <t>УТ000022225</t>
  </si>
  <si>
    <t>Накладка пластиковая для iPhone 6 Plus PC002 black</t>
  </si>
  <si>
    <t>УТ000022226</t>
  </si>
  <si>
    <t>Накладка пластиковая для iPhone 6 Plus PC002 blue</t>
  </si>
  <si>
    <t>УТ000022227</t>
  </si>
  <si>
    <t>Накладка пластиковая для iPhone 6 Plus PC002 gold</t>
  </si>
  <si>
    <t>УТ000034818</t>
  </si>
  <si>
    <t>Накладка силиконовая Huawei Honor 10 техпак,бархатная, черная Case Smartphone</t>
  </si>
  <si>
    <t>УТ000021522</t>
  </si>
  <si>
    <t>Накладка силиконовая для Huawei Honor 6X прозрачная</t>
  </si>
  <si>
    <t>УТ000021523</t>
  </si>
  <si>
    <t>Накладка силиконовая для Huawei P10 Lite прозрачная</t>
  </si>
  <si>
    <t>УТ000020265</t>
  </si>
  <si>
    <t>Накладка силиконовая для iPhone 7/8 Принт</t>
  </si>
  <si>
    <t>УТ000019671</t>
  </si>
  <si>
    <t>Накладка силиконовая для iPhone X/XS прозрачный</t>
  </si>
  <si>
    <t>УТ000025970</t>
  </si>
  <si>
    <t>Накладка силиконовая для Meizu M3 NOTE черный с рисунком</t>
  </si>
  <si>
    <t>УТ000025864</t>
  </si>
  <si>
    <t>Накладка силиконовая для Meizu M3s черный с рисунком</t>
  </si>
  <si>
    <t>УТ000021525</t>
  </si>
  <si>
    <t>Накладка силиконовая для Meizu U10 прозрачный</t>
  </si>
  <si>
    <t>УТ000021526</t>
  </si>
  <si>
    <t>Накладка силиконовая для Meizu U20 прозрачный</t>
  </si>
  <si>
    <t>УТ000032822</t>
  </si>
  <si>
    <t>Накладка силиконовая для Samsung A20, Baseus черная техпак</t>
  </si>
  <si>
    <t>УТ000033560</t>
  </si>
  <si>
    <t>Накладка силиконовая для Samsung A20, прозрачная с окантовкой, красная</t>
  </si>
  <si>
    <t>УТ000021617</t>
  </si>
  <si>
    <t>Накладка силиконовая для Samsung A3 2016 A3100 прозрачная, техпак</t>
  </si>
  <si>
    <t>УТ000020922</t>
  </si>
  <si>
    <t>Накладка силиконовая для Samsung A3 2017, A320F черная техпак</t>
  </si>
  <si>
    <t>УТ000025865</t>
  </si>
  <si>
    <t>Накладка силиконовая для Samsung A310 черная с рисуноком техпак</t>
  </si>
  <si>
    <t>УТ000021550</t>
  </si>
  <si>
    <t>Накладка силиконовая для Samsung A310 черная техпак</t>
  </si>
  <si>
    <t>УТ000025866</t>
  </si>
  <si>
    <t>Накладка силиконовая для Samsung A320 черная с рисуноком техпак</t>
  </si>
  <si>
    <t>УТ000033562</t>
  </si>
  <si>
    <t>Накладка силиконовая для Samsung A40, прозрачная с окантовкой, красная</t>
  </si>
  <si>
    <t>УТ000022013</t>
  </si>
  <si>
    <t>Накладка силиконовая для Samsung A7 2017, A720 черная техпак</t>
  </si>
  <si>
    <t>УТ000021553</t>
  </si>
  <si>
    <t>Накладка силиконовая для Samsung A7 2017, A720F черная техпак</t>
  </si>
  <si>
    <t>УТ000032827</t>
  </si>
  <si>
    <t>Накладка силиконовая для Samsung A7, A750 2018, Baseus черная техпак</t>
  </si>
  <si>
    <t>УТ000013647</t>
  </si>
  <si>
    <t>Накладка силиконовая для Samsung A710 2016 прозрачный, техпак</t>
  </si>
  <si>
    <t>УТ000017053</t>
  </si>
  <si>
    <t>Накладка силиконовая для Samsung A710 2016 черная техпак</t>
  </si>
  <si>
    <t>УТ000032850</t>
  </si>
  <si>
    <t>Накладка силиконовая для Samsung A8 Plus 2018, прозрачная</t>
  </si>
  <si>
    <t>УТ000032851</t>
  </si>
  <si>
    <t>Накладка силиконовая для Samsung A8 Star/A9 Star, прозрачная</t>
  </si>
  <si>
    <t>УТ000032311</t>
  </si>
  <si>
    <t>Накладка силиконовая для Samsung A9 2018, прозрачная</t>
  </si>
  <si>
    <t>УТ000024478</t>
  </si>
  <si>
    <t>Накладка силиконовая для Samsung A9, Oxion, прозрачно-серый, ультратонкая(OSC007GY)</t>
  </si>
  <si>
    <t>УТ000024479</t>
  </si>
  <si>
    <t>Накладка силиконовая для Samsung A9, Oxion, прозрачный, ультратонкая (OSC007CL)</t>
  </si>
  <si>
    <t>УТ000021529</t>
  </si>
  <si>
    <t>Накладка силиконовая для Samsung J1 J120 (2016) прозрачный, техпак</t>
  </si>
  <si>
    <t>УТ000017054</t>
  </si>
  <si>
    <t>Накладка силиконовая для Samsung J1 черная техпак</t>
  </si>
  <si>
    <t>УТ000032852</t>
  </si>
  <si>
    <t>Накладка силиконовая для Samsung J2 PRO 2018, прозрачный</t>
  </si>
  <si>
    <t>УТ000013649</t>
  </si>
  <si>
    <t>Накладка силиконовая для Samsung J2 прозрачный, техпак</t>
  </si>
  <si>
    <t>УТ000032853</t>
  </si>
  <si>
    <t>Накладка силиконовая для Samsung J3 2018, прозрачная</t>
  </si>
  <si>
    <t>УТ000017051</t>
  </si>
  <si>
    <t>Накладка силиконовая для Samsung J3 прозрачный, техпак</t>
  </si>
  <si>
    <t>УТ000018016</t>
  </si>
  <si>
    <t>Накладка силиконовая для Samsung J3/J320/J310F черная, техпак</t>
  </si>
  <si>
    <t>УТ000019125</t>
  </si>
  <si>
    <t>Накладка силиконовая для Samsung J310 черная, техпак</t>
  </si>
  <si>
    <t>УТ000032854</t>
  </si>
  <si>
    <t>Накладка силиконовая для Samsung J4 2018, прозрачный</t>
  </si>
  <si>
    <t>УТ000032845</t>
  </si>
  <si>
    <t>Накладка силиконовая для Samsung J4 Core, синий</t>
  </si>
  <si>
    <t>УТ000032829</t>
  </si>
  <si>
    <t>Накладка силиконовая для Samsung J4 Core,Baseus, черная, техпак</t>
  </si>
  <si>
    <t>УТ000032312</t>
  </si>
  <si>
    <t>Накладка силиконовая для Samsung J4 Core/J4 Plus, прозрачный</t>
  </si>
  <si>
    <t>УТ000032855</t>
  </si>
  <si>
    <t>Накладка силиконовая для Samsung J4 Plus 2018, прозрачный</t>
  </si>
  <si>
    <t>УТ000022721</t>
  </si>
  <si>
    <t>Накладка силиконовая для Samsung J5 Prime прозрачный, техпак</t>
  </si>
  <si>
    <t>УТ000025870</t>
  </si>
  <si>
    <t>Накладка силиконовая для Samsung J5 Prime черная с рисуноком, техпак</t>
  </si>
  <si>
    <t>УТ000022947</t>
  </si>
  <si>
    <t>Накладка силиконовая для Samsung J5 Prime черная, техпак</t>
  </si>
  <si>
    <t>УТ000013650</t>
  </si>
  <si>
    <t>Накладка силиконовая для Samsung J5 прозрачный, техпак</t>
  </si>
  <si>
    <t>УТ000017056</t>
  </si>
  <si>
    <t>Накладка силиконовая для Samsung J5 черная, техпак</t>
  </si>
  <si>
    <t>УТ000019674</t>
  </si>
  <si>
    <t>Накладка силиконовая для Samsung J530 J5 PRO (2017) прозрачный, техпак</t>
  </si>
  <si>
    <t>УТ000025857</t>
  </si>
  <si>
    <t>Накладка силиконовая для Samsung J6 прозрачный, техпак</t>
  </si>
  <si>
    <t>УТ000016623</t>
  </si>
  <si>
    <t>Накладка силиконовая для Samsung J7 2015 прозрачный, техпак</t>
  </si>
  <si>
    <t>УТ000026145</t>
  </si>
  <si>
    <t>Накладка силиконовая для Samsung J7 Prime</t>
  </si>
  <si>
    <t>УТ000024483</t>
  </si>
  <si>
    <t>Накладка силиконовая для Samsung J7 прозрачный Oxion (OSC012CL) ультратонкая</t>
  </si>
  <si>
    <t>УТ000017058</t>
  </si>
  <si>
    <t>Накладка силиконовая для Samsung J7 черная, техпак</t>
  </si>
  <si>
    <t>УТ000017059</t>
  </si>
  <si>
    <t>Накладка силиконовая для Samsung J710 (J7 2016) черная,техпак</t>
  </si>
  <si>
    <t>УТ000016174</t>
  </si>
  <si>
    <t>Накладка силиконовая для Samsung J710 прозрачный, техпак</t>
  </si>
  <si>
    <t>УТ000019675</t>
  </si>
  <si>
    <t>Накладка силиконовая для Samsung J730 J7 PRO (2017) прозрачный, техпак</t>
  </si>
  <si>
    <t>УТ000032830</t>
  </si>
  <si>
    <t>Накладка силиконовая для Samsung J8 2018, Baseus, черная, техпак</t>
  </si>
  <si>
    <t>УТ000032858</t>
  </si>
  <si>
    <t>Накладка силиконовая для Samsung J8 2018, прозрачный</t>
  </si>
  <si>
    <t>УТ000032313</t>
  </si>
  <si>
    <t>Накладка силиконовая для Samsung M10, прозрачная</t>
  </si>
  <si>
    <t>УТ000032314</t>
  </si>
  <si>
    <t>Накладка силиконовая для Samsung M20, прозрачная</t>
  </si>
  <si>
    <t>УТ000032859</t>
  </si>
  <si>
    <t>Накладка силиконовая для Samsung NOTE 8, прозрачная</t>
  </si>
  <si>
    <t>УТ000032860</t>
  </si>
  <si>
    <t>Накладка силиконовая для Samsung NOTE 9, прозрачная</t>
  </si>
  <si>
    <t>УТ000032831</t>
  </si>
  <si>
    <t>Накладка силиконовая для Samsung S10 Baseus, черная, техпак</t>
  </si>
  <si>
    <t>УТ000025858</t>
  </si>
  <si>
    <t>Накладка силиконовая для Samsung S7 Edge прозрачный, техпак</t>
  </si>
  <si>
    <t>УТ000024484</t>
  </si>
  <si>
    <t>Накладка силиконовая для Samsung S7 Edge, прозрачно-серый, Oxion (OSC008GY) ультратонкая</t>
  </si>
  <si>
    <t>УТ000024485</t>
  </si>
  <si>
    <t>Накладка силиконовая для Samsung S7 Edge, прозрачный, Oxion (OSC008CL), ультратонкая</t>
  </si>
  <si>
    <t>УТ000019677</t>
  </si>
  <si>
    <t>Накладка силиконовая для Samsung S8 Plus прозрачный, техпак</t>
  </si>
  <si>
    <t>УТ000032862</t>
  </si>
  <si>
    <t>Накладка силиконовая для Samsung S9 прозрачный</t>
  </si>
  <si>
    <t>УТ000025859</t>
  </si>
  <si>
    <t>Накладка силиконовая для Samsung S9 прозрачный, техпак</t>
  </si>
  <si>
    <t>УТ000021533</t>
  </si>
  <si>
    <t>Накладка силиконовая для Xiaomi Redmi 3s прозрачный</t>
  </si>
  <si>
    <t>УТ000025872</t>
  </si>
  <si>
    <t>Накладка силиконовая для Xiaomi Redmi 4 черная с рисунком</t>
  </si>
  <si>
    <t>УТ000025873</t>
  </si>
  <si>
    <t>Накладка силиконовая для Xiaomi Redmi Note 2 черная с рисунком</t>
  </si>
  <si>
    <t>УТ000024482</t>
  </si>
  <si>
    <t>Накладка силиконовая ультротонкая для Samsung J7 прозрачно-серый Oxion (OSC012GY)</t>
  </si>
  <si>
    <t>УТ000008061</t>
  </si>
  <si>
    <t>Чехол футляр-книга для iPhonе 6 Plus ACTIV Flip Leather белый</t>
  </si>
  <si>
    <t>УТ000008059</t>
  </si>
  <si>
    <t>Чехол футляр-книга для iPhonе 6 Plus ACTIV Flip Leather красный</t>
  </si>
  <si>
    <t>УТ000008063</t>
  </si>
  <si>
    <t>Чехол футляр-книга для iPhonе 6 Plus ACTIV Flip Leather черный</t>
  </si>
  <si>
    <t>УТ000025747</t>
  </si>
  <si>
    <t>Чехол-книжка для iPhone 7/8 Plus 001 black/silver Top-Fashion</t>
  </si>
  <si>
    <t>УТ000025748</t>
  </si>
  <si>
    <t>Чехол-книжка для iPhone 7/8 Plus 001 gold Top-Fashion</t>
  </si>
  <si>
    <t>УТ000033576</t>
  </si>
  <si>
    <t>Чехол-книжка для iPhone 7/8 красный Fashion case</t>
  </si>
  <si>
    <t>УТ000025754</t>
  </si>
  <si>
    <t>Чехол-книжка для iPhone X/XS, gold Top-Fashion 001</t>
  </si>
  <si>
    <t>УТ000022268</t>
  </si>
  <si>
    <t>Чехол-накладка для iPhone 6 Activ Reptilian+Metall coffee</t>
  </si>
  <si>
    <t>УТ000022269</t>
  </si>
  <si>
    <t>Чехол-накладка для iPhone 6 Plus Activ Reptilian+Metall black</t>
  </si>
  <si>
    <t>УТ000022202</t>
  </si>
  <si>
    <t>Чехол-накладка для iPhone 6 Plus Glamour blue/silver</t>
  </si>
  <si>
    <t>УТ000022279</t>
  </si>
  <si>
    <t>Чехол-накладка для iPhone 6 Plus Remax Crystal gold</t>
  </si>
  <si>
    <t>УТ000022280</t>
  </si>
  <si>
    <t>Чехол-накладка для iPhone 6 Plus Remax Crystal rose gold</t>
  </si>
  <si>
    <t>УТ000022232</t>
  </si>
  <si>
    <t>Чехол-накладка для iPhone 7/8 gold PC002</t>
  </si>
  <si>
    <t>УТ000026514</t>
  </si>
  <si>
    <t>Чехол-накладка для iPhone 7/8 KST violet/orange</t>
  </si>
  <si>
    <t>УТ000026363</t>
  </si>
  <si>
    <t>Чехол-накладка для iPhone 7/8 PC013 (002)</t>
  </si>
  <si>
    <t>УТ000026367</t>
  </si>
  <si>
    <t>Чехол-накладка для iPhone 7/8 PC013 (017)</t>
  </si>
  <si>
    <t>УТ000022236</t>
  </si>
  <si>
    <t>Чехол-накладка для iPhone 7/8 Plus, blue PC002</t>
  </si>
  <si>
    <t>УТ000022209</t>
  </si>
  <si>
    <t>Чехол-накладка для iPhone 7/8 Plus, purple/silver Glamour</t>
  </si>
  <si>
    <t>УТ000022239</t>
  </si>
  <si>
    <t>Чехол-накладка для iPhone 7/8 Plus, rose gold PC002</t>
  </si>
  <si>
    <t>УТ000022234</t>
  </si>
  <si>
    <t>Чехол-накладка для iPhone 7/8 rose gold PC002</t>
  </si>
  <si>
    <t>УТ000026420</t>
  </si>
  <si>
    <t>Чехол-накладка для iPhone 7/8 SC043 (004)</t>
  </si>
  <si>
    <t>УТ000026453</t>
  </si>
  <si>
    <t>Чехол-накладка для iPhone 7/8 SC046 зеленый</t>
  </si>
  <si>
    <t>УТ000026542</t>
  </si>
  <si>
    <t>Чехол-накладка для iPhone 7/8 красный The ultimate experience AirBird</t>
  </si>
  <si>
    <t>УТ000026537</t>
  </si>
  <si>
    <t>Чехол-накладка для iPhone 7/8 красный The ultimate experience AirBird2</t>
  </si>
  <si>
    <t>УТ000022256</t>
  </si>
  <si>
    <t>Чехол-накладка для iPhone 7/8 цветочный принт 01 SC012</t>
  </si>
  <si>
    <t>УТ000026541</t>
  </si>
  <si>
    <t>Чехол-накладка для iPhone 7/8 черный The ultimate experience AirBird</t>
  </si>
  <si>
    <t>УТ000022273</t>
  </si>
  <si>
    <t>Чехол-накладка для iPhone 7/8, grey Activ Reptilian+Metall</t>
  </si>
  <si>
    <t>УТ000026297</t>
  </si>
  <si>
    <t>Чехол-накладка для iPhone X/XS, gold Glamour</t>
  </si>
  <si>
    <t>УТ000029645</t>
  </si>
  <si>
    <t>Чехол-накладка для iPhone X/XS,синий Leather</t>
  </si>
  <si>
    <t>УТ000026348</t>
  </si>
  <si>
    <t>Чехол-накладка для Samsung J5 2016, PC002, черный</t>
  </si>
  <si>
    <t>УТ000026322</t>
  </si>
  <si>
    <t>Чехол-накладка для Xiaomi Redmi 4A Glamour, gold</t>
  </si>
  <si>
    <t>УТ000026486</t>
  </si>
  <si>
    <t>Чехол-накладка для Xiaomi Redmi 4X SC088 (008)</t>
  </si>
  <si>
    <t xml:space="preserve"> Бытовая аудио и видео аппаратура</t>
  </si>
  <si>
    <t xml:space="preserve"> Акустические компаненты</t>
  </si>
  <si>
    <t xml:space="preserve"> Аксессуары для виниловых проигрывателей</t>
  </si>
  <si>
    <t>УТ000058496</t>
  </si>
  <si>
    <t>Весы для настройки тонармов, мерная гирька 5гр в комплекте</t>
  </si>
  <si>
    <t>УТ000058501</t>
  </si>
  <si>
    <t>Головка звукоснимателя, картридж ММ, модифиация AT91, AT 3600L</t>
  </si>
  <si>
    <t>УТ000058477</t>
  </si>
  <si>
    <t>Клемп с уровенем, прижим-стабилизатор, разметка для стробоскома,  280гр, розовое золото</t>
  </si>
  <si>
    <t>УТ000057470</t>
  </si>
  <si>
    <t>Клемп с уровенем, прижим-стабилизатор, разметка для стробоскома,  280гр, серебро</t>
  </si>
  <si>
    <t>УТ000058478</t>
  </si>
  <si>
    <t>Клемп с уровенем, прижим-стабилизатор, разметка для стробоскома,  280гр, черный</t>
  </si>
  <si>
    <t>УТ000058499</t>
  </si>
  <si>
    <t>Шаблон для настройки тонарма</t>
  </si>
  <si>
    <t>УТ000058500</t>
  </si>
  <si>
    <t>Шелл звукоснимателя с комплектом проводов, держатель картриджа, серебро</t>
  </si>
  <si>
    <t>УТ000058498</t>
  </si>
  <si>
    <t>Щетка для чистки виниловых пластинок, антистатическая, карбон</t>
  </si>
  <si>
    <t>УТ000058497</t>
  </si>
  <si>
    <t>Щетки для чистки виниловых пластинок, велюр комплект 3шт</t>
  </si>
  <si>
    <t xml:space="preserve"> Аудио кабеля, акустические</t>
  </si>
  <si>
    <t>УТ000058187</t>
  </si>
  <si>
    <t>Кабель акустический направленный, медь оfc 99.9, штекер Банан - Банан позолоченые разьемы, 2м (комплект 2шт)</t>
  </si>
  <si>
    <t>УТ000059341</t>
  </si>
  <si>
    <t>Кабель акустический, медь оfc 99.9, штекер Банан - Банан позолоченые разьемы, 1,5м (комплект 2шт)</t>
  </si>
  <si>
    <t xml:space="preserve"> Аудио кабеля, межблочные</t>
  </si>
  <si>
    <t>УТ000059340</t>
  </si>
  <si>
    <t>Кабель межблочный референсный RCA-RCA  монокристаллическая медь 8NX, цанговые разъемы 0,5м</t>
  </si>
  <si>
    <t xml:space="preserve"> Индикаторы уровня</t>
  </si>
  <si>
    <t>УТ000058664</t>
  </si>
  <si>
    <t>Модуль управления стрелочными индикаторами уровня</t>
  </si>
  <si>
    <t>УТ000058665</t>
  </si>
  <si>
    <t>Стрелочный индикатор уровня двойной, 115*54мм, встроенный модуль управления</t>
  </si>
  <si>
    <t>УТ000058666</t>
  </si>
  <si>
    <t>Стрелочный индикатор уровня двойной, 2.8-3.8V, P-78WTC-BGB-S0624-W</t>
  </si>
  <si>
    <t>УТ000058667</t>
  </si>
  <si>
    <t>Стрелочный индикатор уровня двойной, 3.0-3.2V, P-78WTC-BGB-S0338-B</t>
  </si>
  <si>
    <t>УТ000058669</t>
  </si>
  <si>
    <t>Стрелочный индикатор уровня, 2.8-3.3V, TN-105-S0518</t>
  </si>
  <si>
    <t>УТ000058668</t>
  </si>
  <si>
    <t>Стрелочный индикатор уровня, 2.8-3.8V, TN-90A-BGB-S0466</t>
  </si>
  <si>
    <t>УТ000058670</t>
  </si>
  <si>
    <t>Стрелочный индикатор уровня, 3.0-3.2V, 137 х 94мм, P-134-BGB-S0561-W</t>
  </si>
  <si>
    <t>УТ000058671</t>
  </si>
  <si>
    <t>Стрелочный индикатор уровня, 85*45мм, подсветка, желтое табло ТН-90</t>
  </si>
  <si>
    <t xml:space="preserve"> Компаненты для акустических систем</t>
  </si>
  <si>
    <t>УТ000059238</t>
  </si>
  <si>
    <t>Подвес для динамиков,  пенополиуретана ППУ,  10" 245/180мм</t>
  </si>
  <si>
    <t>УТ000059239</t>
  </si>
  <si>
    <t>Подвес для динамиков,  пенополиуретана ППУ,  12" 295/220мм</t>
  </si>
  <si>
    <t>УТ000059234</t>
  </si>
  <si>
    <t>Подвес для динамиков,  пенополиуретана ППУ,  4" 100/65мм</t>
  </si>
  <si>
    <t>УТ000059235</t>
  </si>
  <si>
    <t>Подвес для динамиков,  пенополиуретана ППУ,  5" 125/85мм</t>
  </si>
  <si>
    <t>УТ000059236</t>
  </si>
  <si>
    <t>Подвес для динамиков,  пенополиуретана ППУ,  6,5" 155/105мм</t>
  </si>
  <si>
    <t>УТ000059237</t>
  </si>
  <si>
    <t>Подвес для динамиков,  пенополиуретана ППУ,  8" 195/135мм</t>
  </si>
  <si>
    <t>УТ000059250</t>
  </si>
  <si>
    <t>Ткань для ремонта акустических систем, грилей колонок, 1.4 х 0.5 м, коричневая</t>
  </si>
  <si>
    <t>УТ000059249</t>
  </si>
  <si>
    <t>Ткань для ремонта акустических систем, грилей колонок, 1.4 х 0.5 м, черная</t>
  </si>
  <si>
    <t xml:space="preserve"> Компаненты питания для аудио аппаратуры</t>
  </si>
  <si>
    <t>УТ000057475</t>
  </si>
  <si>
    <t>Гнездо сетевое С14 силовое, инлет, крепление провода на винт, позолоченное</t>
  </si>
  <si>
    <t>УТ000057474</t>
  </si>
  <si>
    <t>Гнездо сетевое С14 силовое, инлет, крепление провода на винт, родиевое покрытие</t>
  </si>
  <si>
    <t>УТ000059337</t>
  </si>
  <si>
    <t>Кабель питания силовой,  для аудио аппаратуры, С15, 0,75м</t>
  </si>
  <si>
    <t>УТ000059338</t>
  </si>
  <si>
    <t>Кабель питания силовой,  для аудио аппаратуры, С15, 1м</t>
  </si>
  <si>
    <t>УТ000059336</t>
  </si>
  <si>
    <t>Колодка сетевая, гнездо питания, стандарт Япония, США 125В, 20А</t>
  </si>
  <si>
    <t>УТ000057479</t>
  </si>
  <si>
    <t>Коннектер питания силовой, вилка для аудио аппаратуры, позолоченный, Xangsane</t>
  </si>
  <si>
    <t>УТ000059332</t>
  </si>
  <si>
    <t>Коннектер питания силовой, разьем С15 для аудио аппаратуры, позолоченный, Xangsane</t>
  </si>
  <si>
    <t>УТ000059229</t>
  </si>
  <si>
    <t>Силовая вилка питания для аудио аппаратуры P-079E</t>
  </si>
  <si>
    <t>УТ000059230</t>
  </si>
  <si>
    <t>Силовая разьем питания силововой для аудио аппаратуры P-079</t>
  </si>
  <si>
    <t xml:space="preserve"> Ножки для аудио аппаратуры</t>
  </si>
  <si>
    <t>УТ000059242</t>
  </si>
  <si>
    <t>Ножка для аудио техники 30*6мм, золото (8)</t>
  </si>
  <si>
    <t>УТ000059241</t>
  </si>
  <si>
    <t>Ножка для аудио техники 30*6мм, серебро (8)</t>
  </si>
  <si>
    <t>УТ000059240</t>
  </si>
  <si>
    <t>Ножка для аудио техники 30*6мм, черные (8)</t>
  </si>
  <si>
    <t>УТ000059245</t>
  </si>
  <si>
    <t>Ножка для аудио техники 40*8мм, золото (4)</t>
  </si>
  <si>
    <t>УТ000059244</t>
  </si>
  <si>
    <t>Ножка для аудио техники 40*8мм, серебро (4)</t>
  </si>
  <si>
    <t>УТ000059243</t>
  </si>
  <si>
    <t>Ножка для аудио техники 40*8мм, черные (4)</t>
  </si>
  <si>
    <t>УТ000059248</t>
  </si>
  <si>
    <t>Ножка для аудио техники 47*13мм, золото (8)</t>
  </si>
  <si>
    <t>УТ000059247</t>
  </si>
  <si>
    <t>Ножка для аудио техники 47*13мм, серебро (8)</t>
  </si>
  <si>
    <t>УТ000059246</t>
  </si>
  <si>
    <t>Ножка для аудио техники 47*13мм, черные (8)</t>
  </si>
  <si>
    <t>УТ000058479</t>
  </si>
  <si>
    <t>Ножка конус диаметр гайки 18мм</t>
  </si>
  <si>
    <t>УТ000058298</t>
  </si>
  <si>
    <t>Ножка конус диаметр гайки 27мм</t>
  </si>
  <si>
    <t>УТ000057477</t>
  </si>
  <si>
    <t>Ножки конусы под аппаратуру, виброразвязка комплект 4шт , золото</t>
  </si>
  <si>
    <t>УТ000057478</t>
  </si>
  <si>
    <t>Ножки конусы под аппаратуру, виброразвязка комплект 4шт , серебро</t>
  </si>
  <si>
    <t>УТ000057476</t>
  </si>
  <si>
    <t>Ножки конусы под аппаратуру, виброразвязка комплект 4шт , черный</t>
  </si>
  <si>
    <t>УТ000058480</t>
  </si>
  <si>
    <t>Ножки конусы под аппаратуру, регулировка высоты, золото-титан, 4шт</t>
  </si>
  <si>
    <t>УТ000059219</t>
  </si>
  <si>
    <t>Шайба - подпятник под конусы виброразвязки, диаметр 25мм</t>
  </si>
  <si>
    <t xml:space="preserve"> Напольные акустические системы</t>
  </si>
  <si>
    <t>УТ000048560</t>
  </si>
  <si>
    <t>Активная напольная акустика OT-SPF32</t>
  </si>
  <si>
    <t>УТ000049295</t>
  </si>
  <si>
    <t>Активная напольная акустика OT-SPF33</t>
  </si>
  <si>
    <t>УТ000045686</t>
  </si>
  <si>
    <t>Активная напольная колонка 07</t>
  </si>
  <si>
    <t>УТ000037662</t>
  </si>
  <si>
    <t>Акустика JBK-0810 (Bluetooth)</t>
  </si>
  <si>
    <t>УТ000055696</t>
  </si>
  <si>
    <t>Акустическая система Defender SUPERNOVA 60вт (Bluetooth, Light, AUX, USB, EQ, TWS)</t>
  </si>
  <si>
    <t>УТ000033040</t>
  </si>
  <si>
    <t>Акустическая система Dialog Oscar AO-12, 30W RMS, микрофон проводной, Bluetooth, FM+USB+SD</t>
  </si>
  <si>
    <t>УТ000038839</t>
  </si>
  <si>
    <t>Акустическая система Dialog Oscar AO-20, 30W RMS, микрофон беспроводной, Bluetooth, FM+USB+SD</t>
  </si>
  <si>
    <t>УТ000048026</t>
  </si>
  <si>
    <t>Акустическая система Dialog Oscar AO-250, 60W RMS, микрофон беспроводной, Bluetooth, FM+USB+SD</t>
  </si>
  <si>
    <t>УТ000043274</t>
  </si>
  <si>
    <t>Акустическая система Dialog Progressive AP-1030 труба, 70W RMS, Bluetooth, FM+USB+SD, LED дисплей</t>
  </si>
  <si>
    <t>УТ000054927</t>
  </si>
  <si>
    <t>Акустическая система ELTRONIC 20-46 CRAZY BOX 150 Bluetooth, FM+USB+SD</t>
  </si>
  <si>
    <t>УТ000044840</t>
  </si>
  <si>
    <t>Акустическая система SmartBuy Arisaka, 20Вт (SBS-570)</t>
  </si>
  <si>
    <t>УТ000055427</t>
  </si>
  <si>
    <t>Акустическая система SmartBuy FLAMER, 60Вт (SBS-5190)</t>
  </si>
  <si>
    <t>УТ000044841</t>
  </si>
  <si>
    <t>Акустическая система SmartBuy Reaver, 20Вт (SBS-560)</t>
  </si>
  <si>
    <t>УТ000051339</t>
  </si>
  <si>
    <t>Колонка портативная Defender Boomer 60 (Bluetooth, 60Вт, AUX, USB, TF)</t>
  </si>
  <si>
    <t>УТ000049366</t>
  </si>
  <si>
    <t>Колонка портативная Defender G78 (Bluetooth, 70Вт, AUX, USB, TF)</t>
  </si>
  <si>
    <t>УТ000056514</t>
  </si>
  <si>
    <t>Колонка портативная Nakatomi GS-30 (30Вт, FM, USB reader)</t>
  </si>
  <si>
    <t>УТ000050362</t>
  </si>
  <si>
    <t>Колонка портативная Nakatomi GS-40 (50Вт, FM, USB reader)</t>
  </si>
  <si>
    <t>УТ000056515</t>
  </si>
  <si>
    <t>Колонка портативная Nakatomi GS-43 (60Вт, FM, USB reader)</t>
  </si>
  <si>
    <t>УТ000046181</t>
  </si>
  <si>
    <t>Колонка портативная Smartbuy Z1 Bluetooth, караоке (SBS-970)</t>
  </si>
  <si>
    <t xml:space="preserve"> Портативные колонки</t>
  </si>
  <si>
    <t>УТ000037650</t>
  </si>
  <si>
    <t>Колонка портативная Borofone BR1 (Bluetooth, AUX, microSD) бирюзовый</t>
  </si>
  <si>
    <t>УТ000036221</t>
  </si>
  <si>
    <t>Колонка портативная Borofone BR1 (Bluetooth, AUX, microSD) красный</t>
  </si>
  <si>
    <t>УТ000037651</t>
  </si>
  <si>
    <t>Колонка портативная Borofone BR1 (Bluetooth, AUX, microSD) синий</t>
  </si>
  <si>
    <t>УТ000037652</t>
  </si>
  <si>
    <t>Колонка портативная Borofone BR1 (Bluetooth, AUX, microSD) черный</t>
  </si>
  <si>
    <t>УТ000049966</t>
  </si>
  <si>
    <t>Колонка портативная Borofone BR12 (Bluetooth, AUX, microSD) зеленый камуфляж</t>
  </si>
  <si>
    <t>УТ000050270</t>
  </si>
  <si>
    <t>Колонка портативная Borofone BR12 (Bluetooth, AUX, microSD) серый</t>
  </si>
  <si>
    <t>УТ000049967</t>
  </si>
  <si>
    <t>Колонка портативная Borofone BR12 (Bluetooth, AUX, microSD) синий</t>
  </si>
  <si>
    <t>УТ000050271</t>
  </si>
  <si>
    <t>Колонка портативная Borofone BR12 (Bluetooth, AUX, microSD) синий с переливом</t>
  </si>
  <si>
    <t>УТ000049968</t>
  </si>
  <si>
    <t>Колонка портативная Borofone BR12 (Bluetooth, AUX, microSD) черный</t>
  </si>
  <si>
    <t>УТ000050630</t>
  </si>
  <si>
    <t>Колонка портативная Borofone BR13 (Bluetooth, AUX, microSD) зеленый камуфляж</t>
  </si>
  <si>
    <t>УТ000054916</t>
  </si>
  <si>
    <t>Колонка портативная Borofone BR13 (Bluetooth, AUX, microSD) красный</t>
  </si>
  <si>
    <t>УТ000050631</t>
  </si>
  <si>
    <t>Колонка портативная Borofone BR13 (Bluetooth, AUX, microSD) синий</t>
  </si>
  <si>
    <t>УТ000050633</t>
  </si>
  <si>
    <t>Колонка портативная Borofone BR13 (Bluetooth, AUX, microSD) черный</t>
  </si>
  <si>
    <t>УТ000049969</t>
  </si>
  <si>
    <t>Колонка портативная Borofone BR15 (Bluetooth, AUX, microSD) красный</t>
  </si>
  <si>
    <t>УТ000050638</t>
  </si>
  <si>
    <t>Колонка портативная Borofone BR21 (Bluetooth, AUX, microSD) красный</t>
  </si>
  <si>
    <t>УТ000050639</t>
  </si>
  <si>
    <t>Колонка портативная Borofone BR21 (Bluetooth, AUX, microSD) розовый</t>
  </si>
  <si>
    <t>УТ000050640</t>
  </si>
  <si>
    <t>Колонка портативная Borofone BR21 (Bluetooth, AUX, microSD) серый</t>
  </si>
  <si>
    <t>УТ000050641</t>
  </si>
  <si>
    <t>Колонка портативная Borofone BR21 (Bluetooth, AUX, microSD) синий</t>
  </si>
  <si>
    <t>УТ000050642</t>
  </si>
  <si>
    <t>Колонка портативная Borofone BR21 (Bluetooth, AUX, microSD) черный</t>
  </si>
  <si>
    <t>УТ000056800</t>
  </si>
  <si>
    <t>Колонка портативная Borofone BR26 (Bluetooth, AUX, microSD) зелёный</t>
  </si>
  <si>
    <t>УТ000053306</t>
  </si>
  <si>
    <t>Колонка портативная Borofone BR26 (Bluetooth, AUX, microSD) серый</t>
  </si>
  <si>
    <t>УТ000051137</t>
  </si>
  <si>
    <t>Колонка портативная Borofone BR3 (Bluetooth, AUX, microSD) серый</t>
  </si>
  <si>
    <t>УТ000049981</t>
  </si>
  <si>
    <t>Колонка портативная Borofone BR3 (Bluetooth, AUX, microSD) синий</t>
  </si>
  <si>
    <t>УТ000051140</t>
  </si>
  <si>
    <t>Колонка портативная Borofone BR3 (Bluetooth, AUX, microSD) синий с переливом</t>
  </si>
  <si>
    <t>УТ000057963</t>
  </si>
  <si>
    <t>Колонка портативная Borofone BR36 (Bluetooth, AUX, microSD) зелёный</t>
  </si>
  <si>
    <t>УТ000057961</t>
  </si>
  <si>
    <t>Колонка портативная Borofone BR36 (Bluetooth, AUX, microSD) красный</t>
  </si>
  <si>
    <t>УТ000045893</t>
  </si>
  <si>
    <t>Колонка портативная Borofone BR4 (Bluetooth, AUX, microSD) красный</t>
  </si>
  <si>
    <t>УТ000045896</t>
  </si>
  <si>
    <t>Колонка портативная Borofone BR6 (Bluetooth, AUX, microSD) красный</t>
  </si>
  <si>
    <t>УТ000039505</t>
  </si>
  <si>
    <t>Колонка портативная Borofone BR6 (Bluetooth, AUX, microSD) серый</t>
  </si>
  <si>
    <t>УТ000052981</t>
  </si>
  <si>
    <t>Колонка портативная BT366 (Bluetooth, AUX, microSD, USB, RGB-подсветка) зелёный</t>
  </si>
  <si>
    <t>УТ000054552</t>
  </si>
  <si>
    <t>Колонка портативная BT366 (Bluetooth, AUX, microSD, USB, RGB-подсветка) красный</t>
  </si>
  <si>
    <t>УТ000056959</t>
  </si>
  <si>
    <t>Колонка портативная BT366 (Bluetooth, AUX, microSD, USB, RGB-подсветка) серебро</t>
  </si>
  <si>
    <t>УТ000054080</t>
  </si>
  <si>
    <t>Колонка портативная BT366 (Bluetooth, AUX, microSD, USB, RGB-подсветка) синий</t>
  </si>
  <si>
    <t>УТ000057037</t>
  </si>
  <si>
    <t>Колонка портативная BT366 (Bluetooth, AUX, microSD, USB, RGB-подсветка) чёрный</t>
  </si>
  <si>
    <t>УТ000033330</t>
  </si>
  <si>
    <t>Колонка портативная Defender Enjoy S1000 с Bluetooth</t>
  </si>
  <si>
    <t>УТ000033331</t>
  </si>
  <si>
    <t>Колонка портативная Defender Enjoy S700 с Bluetooth черная</t>
  </si>
  <si>
    <t>УТ000039003</t>
  </si>
  <si>
    <t>Колонка портативная Defender G24 (Bluetooth, 10Вт, AUX, USB, TF)</t>
  </si>
  <si>
    <t>УТ000029223</t>
  </si>
  <si>
    <t>Колонка портативная Dialog Progressive AP-1000 труба, 16W RMS, Bluetooth, FM+USB reader</t>
  </si>
  <si>
    <t>УТ000052767</t>
  </si>
  <si>
    <t>Колонка портативная Dialog Progressive AP-20 труба, 25W RMS, Bluetooth, FM+USB reader</t>
  </si>
  <si>
    <t>УТ000052766</t>
  </si>
  <si>
    <t>Колонка портативная Dialog Progressive AP-30 труба, 40W RMS, Bluetooth, FM+USB reader</t>
  </si>
  <si>
    <t>УТ000057230</t>
  </si>
  <si>
    <t>Колонка портативная HOCO BS40 (Bluetooth, AUX, microSD) красный</t>
  </si>
  <si>
    <t>УТ000057231</t>
  </si>
  <si>
    <t>Колонка портативная HOCO HC10 (Bluetooth, AUX, microSD) чёрный</t>
  </si>
  <si>
    <t>УТ000055352</t>
  </si>
  <si>
    <t>Колонка портативная HOCO HC11 (Bluetooth, AUX, microSD) красный</t>
  </si>
  <si>
    <t>УТ000055353</t>
  </si>
  <si>
    <t>Колонка портативная HOCO HC11 (Bluetooth, AUX, microSD) синий</t>
  </si>
  <si>
    <t>УТ000053004</t>
  </si>
  <si>
    <t>Колонка портативная HOCO HC11 (Bluetooth, AUX, microSD) тёмно-зелёный</t>
  </si>
  <si>
    <t>УТ000051978</t>
  </si>
  <si>
    <t>Колонка портативная HOCO HC12 (Bluetooth, AUX, microSD) зеленый</t>
  </si>
  <si>
    <t>УТ000051977</t>
  </si>
  <si>
    <t>Колонка портативная HOCO HC12 (Bluetooth, AUX, microSD) камуфляж</t>
  </si>
  <si>
    <t>УТ000051980</t>
  </si>
  <si>
    <t>Колонка портативная HOCO HC12 (Bluetooth, AUX, microSD) красный</t>
  </si>
  <si>
    <t>УТ000051979</t>
  </si>
  <si>
    <t>Колонка портативная HOCO HC12 (Bluetooth, AUX, microSD) серый</t>
  </si>
  <si>
    <t>УТ000051976</t>
  </si>
  <si>
    <t>Колонка портативная HOCO HC12 (Bluetooth, AUX, microSD) синий</t>
  </si>
  <si>
    <t>УТ000056803</t>
  </si>
  <si>
    <t>Колонка портативная HOCO HC16 (Bluetooth, AUX, microSD) камуфляж</t>
  </si>
  <si>
    <t>УТ000056804</t>
  </si>
  <si>
    <t>Колонка портативная HOCO HC16 (Bluetooth, AUX, microSD) красный</t>
  </si>
  <si>
    <t>УТ000056805</t>
  </si>
  <si>
    <t>Колонка портативная HOCO HC16 (Bluetooth, AUX, microSD) розовый</t>
  </si>
  <si>
    <t>УТ000049975</t>
  </si>
  <si>
    <t>Колонка портативная HOCO HC2 (Bluetooth, AUX, microSD) зеленый камуфляж</t>
  </si>
  <si>
    <t>УТ000049976</t>
  </si>
  <si>
    <t>Колонка портативная HOCO HC2 (Bluetooth, AUX, microSD) красный</t>
  </si>
  <si>
    <t>УТ000051884</t>
  </si>
  <si>
    <t>Колонка портативная HOCO HC4 (Bluetooth, AUX, microSD) красный</t>
  </si>
  <si>
    <t>УТ000055356</t>
  </si>
  <si>
    <t>Колонка портативная HOCO HC4 (Bluetooth, AUX, microSD) серый</t>
  </si>
  <si>
    <t>УТ000051882</t>
  </si>
  <si>
    <t>Колонка портативная HOCO HC4 (Bluetooth, AUX, microSD) синий</t>
  </si>
  <si>
    <t>УТ000055357</t>
  </si>
  <si>
    <t>Колонка портативная HOCO HC4 (Bluetooth, AUX, microSD) темно-синий</t>
  </si>
  <si>
    <t>УТ000053661</t>
  </si>
  <si>
    <t>Колонка портативная Nakatomi FS-30 (18Вт RMS, FM, USB.LED reader) черный</t>
  </si>
  <si>
    <t>УТ000056405</t>
  </si>
  <si>
    <t>Колонка портативная NR6019 (Bluetooth, AUX, microSD) красный</t>
  </si>
  <si>
    <t>УТ000056407</t>
  </si>
  <si>
    <t>Колонка портативная NR6019 (Bluetooth, AUX, microSD) серый</t>
  </si>
  <si>
    <t>УТ000056406</t>
  </si>
  <si>
    <t>Колонка портативная NR6019 (Bluetooth, AUX, microSD) синий</t>
  </si>
  <si>
    <t>УТ000056404</t>
  </si>
  <si>
    <t>Колонка портативная NR6019 (Bluetooth, AUX, microSD) черный</t>
  </si>
  <si>
    <t>УТ000056408</t>
  </si>
  <si>
    <t>Колонка портативная NR6019M + микрофон (Bluetooth, AUX, microSD) красный</t>
  </si>
  <si>
    <t>УТ000026991</t>
  </si>
  <si>
    <t>Колонка портативная SmartBuy Tuber, Bluetooth, MP3-плеер, FM-радио, чёрная (SBS-4100)</t>
  </si>
  <si>
    <t>УТ000026989</t>
  </si>
  <si>
    <t>Колонка портативная SmartBuy Tuber, Bluetooth, MP3-плеер, FM-радио, чёрно-жёлтый (SBS-4200)</t>
  </si>
  <si>
    <t>УТ000026992</t>
  </si>
  <si>
    <t>Колонка портативная SmartBuy Tuber, Bluetooth, MP3-плеер, FM-радио, чёрно-красная (SBS-4300)</t>
  </si>
  <si>
    <t xml:space="preserve"> Кронштейны для бытовой техники, телевизоров, микроволновых печей</t>
  </si>
  <si>
    <t xml:space="preserve"> Кронштейны для бытовой техники</t>
  </si>
  <si>
    <t>УТ000054629</t>
  </si>
  <si>
    <t>Кронштейн СВЧ 006 консоль</t>
  </si>
  <si>
    <t>УТ000053425</t>
  </si>
  <si>
    <t>Кронштейн СВЧ консоль Trone C-3, белый</t>
  </si>
  <si>
    <t>УТ000053426</t>
  </si>
  <si>
    <t>Кронштейн СВЧ консоль Trone C-3, серый</t>
  </si>
  <si>
    <t>УТ000053424</t>
  </si>
  <si>
    <t>Кронштейн СВЧ консоль Trone C-5, белый</t>
  </si>
  <si>
    <t>УТ000053427</t>
  </si>
  <si>
    <t>Кронштейн СВЧ консоль Trone C-5, серый</t>
  </si>
  <si>
    <t xml:space="preserve"> Кронштейны наклонно-поворотный</t>
  </si>
  <si>
    <t>УТ000041528</t>
  </si>
  <si>
    <t>Кронштейн для мониторов 26-55` (66-140см) Vobix VX5532B наклонно-поворотный до 35кг</t>
  </si>
  <si>
    <t>УТ000044127</t>
  </si>
  <si>
    <t>Кронштейн для проектора потолочный NB718-4</t>
  </si>
  <si>
    <t>УТ000038917</t>
  </si>
  <si>
    <t>Кронштейн для телевизора 14-27" OT-HOD07</t>
  </si>
  <si>
    <t>УТ000038919</t>
  </si>
  <si>
    <t>Кронштейн для телевизора 14-40" OT-HOD09</t>
  </si>
  <si>
    <t>УТ000038920</t>
  </si>
  <si>
    <t>Кронштейн для телевизора 14-42" OT-HOD10</t>
  </si>
  <si>
    <t>УТ000038923</t>
  </si>
  <si>
    <t>Кронштейн для телевизора 14-42" OT-HOD12</t>
  </si>
  <si>
    <t>УТ000038918</t>
  </si>
  <si>
    <t>Кронштейн для телевизора 15-40" OT-HOD08</t>
  </si>
  <si>
    <t>УТ000036524</t>
  </si>
  <si>
    <t>Кронштейн для телевизора 23-55" KALOC X-1 поворотно-наклонный</t>
  </si>
  <si>
    <t>УТ000038924</t>
  </si>
  <si>
    <t>Кронштейн для телевизора 26-55" OT-HOD13</t>
  </si>
  <si>
    <t>УТ000043863</t>
  </si>
  <si>
    <t>Кронштейн для телевизора 26-55" наклонный</t>
  </si>
  <si>
    <t>УТ000046532</t>
  </si>
  <si>
    <t>Кронштейн для телевизора 26-55" потолочный наклонный поворотный</t>
  </si>
  <si>
    <t>УТ000038922</t>
  </si>
  <si>
    <t>Кронштейн для телевизора 32-55" OT-HOD11</t>
  </si>
  <si>
    <t>УТ000058040</t>
  </si>
  <si>
    <t>Кронштейн для телевизора 32-55" ZERRO  NS P-400 поворотно-наклонный</t>
  </si>
  <si>
    <t>УТ000035404</t>
  </si>
  <si>
    <t>Кронштейн для телевизора 32-60" KALOC X-4 поворотно-наклонный</t>
  </si>
  <si>
    <t>УТ000040312</t>
  </si>
  <si>
    <t>Кронштейн для телевизора 32-60" NB P5</t>
  </si>
  <si>
    <t>УТ000028107</t>
  </si>
  <si>
    <t>Кронштейн для телевизора NB SP-200 настенный поворотно-наклонный черный</t>
  </si>
  <si>
    <t>УТ000019061</t>
  </si>
  <si>
    <t>Кронштейн для телевизора UltraMounts UM862 наклонно-поворотный 13-42` (33-106см) до 20кг</t>
  </si>
  <si>
    <t>УТ000019063</t>
  </si>
  <si>
    <t>Кронштейн для телевизора UltraMounts UM866 наклонно-поворотный 13-42` (33-106см) до 20кг</t>
  </si>
  <si>
    <t>УТ000022805</t>
  </si>
  <si>
    <t>Кронштейн для телевизора UltraMounts UM867 наклонно-поворотный 23-42` (59-106см) до 30кг</t>
  </si>
  <si>
    <t>УТ000019733</t>
  </si>
  <si>
    <t>Кронштейн для телевизора UltraMounts UM868 наклонно-поворотный 23-55` (59-139см) до 30кг</t>
  </si>
  <si>
    <t>УТ000041530</t>
  </si>
  <si>
    <t>Кронштейн для телевизора UltraMounts UM869 наклонно-поворотный 23-55` (58-140см) до 35кг</t>
  </si>
  <si>
    <t>УТ000035116</t>
  </si>
  <si>
    <t>Кронштейн для телевизора UltraMounts UM878 наклонно-поворотный 32-55` (82-139см) до 35кг</t>
  </si>
  <si>
    <t>УТ000046064</t>
  </si>
  <si>
    <t>Кронштейн для телевизора UltraMounts UM894 наклонно-поворотный 13-27` (33-68см) до 20кг</t>
  </si>
  <si>
    <t>УТ000046066</t>
  </si>
  <si>
    <t>Кронштейн для телевизора UltraMounts UM896 наклонно-поворотный 13-27` (33-68см) до 30кг</t>
  </si>
  <si>
    <t>УТ000046068</t>
  </si>
  <si>
    <t>Кронштейн для телевизора UltraMounts UM900 наклонно-поворотный 23-43` (59-109см) до 30кг</t>
  </si>
  <si>
    <t>УТ000046071</t>
  </si>
  <si>
    <t>Кронштейн для телевизора UltraMounts UM903 наклонно-поворотный 32-55` (82-139см) до 20кг</t>
  </si>
  <si>
    <t>УТ000046070</t>
  </si>
  <si>
    <t>Кронштейн для телевизора UltraMounts UM905 наклонно-поворотный 23-55` (59-139см) до 30кг</t>
  </si>
  <si>
    <t>УТ000046076</t>
  </si>
  <si>
    <t>Кронштейн для телевизора UltraMounts UM909 наклонно-поворотный 37-75` (94-190см) до 35кг</t>
  </si>
  <si>
    <t>УТ000057595</t>
  </si>
  <si>
    <t>Кронштейн для телевизора наклонно-поворотный ENERGY POWER 117В 14-42`</t>
  </si>
  <si>
    <t>УТ000058038</t>
  </si>
  <si>
    <t>Кронштейн для телевизора настенный ENERGY POWER 14-42`</t>
  </si>
  <si>
    <t xml:space="preserve"> Кронштейны наклонный</t>
  </si>
  <si>
    <t>УТ000030384</t>
  </si>
  <si>
    <t>Кронштейн для телевизора 14-32` HY-108E наклонный</t>
  </si>
  <si>
    <t>УТ000028111</t>
  </si>
  <si>
    <t>Кронштейн для телевизора 14-42" OT-HOD01 настенный  черный</t>
  </si>
  <si>
    <t>УТ000038916</t>
  </si>
  <si>
    <t>Кронштейн для телевизора 14-42" OT-HOD05</t>
  </si>
  <si>
    <t>УТ000048389</t>
  </si>
  <si>
    <t>Кронштейн для телевизора 15-42" Live-Power HT-001 наклонный</t>
  </si>
  <si>
    <t>УТ000058045</t>
  </si>
  <si>
    <t>Кронштейн для телевизора 23-42" ZERRO наклонный</t>
  </si>
  <si>
    <t>УТ000038926</t>
  </si>
  <si>
    <t>Кронштейн для телевизора 26-55" OT-HOD15</t>
  </si>
  <si>
    <t>УТ000053807</t>
  </si>
  <si>
    <t>Кронштейн для телевизора 26-63" V63 наклонный</t>
  </si>
  <si>
    <t>УТ000038927</t>
  </si>
  <si>
    <t>Кронштейн для телевизора 26-65" OT-HOD16</t>
  </si>
  <si>
    <t>УТ000038930</t>
  </si>
  <si>
    <t>Кронштейн для телевизора 26-65" OT-HOD19</t>
  </si>
  <si>
    <t>УТ000048390</t>
  </si>
  <si>
    <t>Кронштейн для телевизора 32-55" Live-Power HT-002 наклонный</t>
  </si>
  <si>
    <t>УТ000038915</t>
  </si>
  <si>
    <t>Кронштейн для телевизора 32-65" OT-HOD04</t>
  </si>
  <si>
    <t>УТ000036526</t>
  </si>
  <si>
    <t>Кронштейн для телевизора 32-65` Kaloc E2-T наклонный</t>
  </si>
  <si>
    <t>УТ000058039</t>
  </si>
  <si>
    <t>Кронштейн для телевизора 32-70" KALOC X-5  наклонно-поворотный</t>
  </si>
  <si>
    <t>УТ000053809</t>
  </si>
  <si>
    <t>Кронштейн для телевизора 32-70" Live-Power HT-003 наклонный</t>
  </si>
  <si>
    <t>УТ000038928</t>
  </si>
  <si>
    <t>Кронштейн для телевизора 32-71" OT-HOD17</t>
  </si>
  <si>
    <t>УТ000038929</t>
  </si>
  <si>
    <t>Кронштейн для телевизора 42-80" OT-HOD18</t>
  </si>
  <si>
    <t>УТ000047570</t>
  </si>
  <si>
    <t>Кронштейн для телевизора 55-85` NB DF-70T настенный наклонный черный</t>
  </si>
  <si>
    <t>УТ000043138</t>
  </si>
  <si>
    <t>Кронштейн для телевизора 65-90" NB DF80-T</t>
  </si>
  <si>
    <t>УТ000045064</t>
  </si>
  <si>
    <t>Кронштейн для телевизора NB C1-T наклонный 17-42`</t>
  </si>
  <si>
    <t>УТ000035403</t>
  </si>
  <si>
    <t>Кронштейн для телевизора NB D2F наклонный 32-55`</t>
  </si>
  <si>
    <t>УТ000058044</t>
  </si>
  <si>
    <t>Кронштейн для телевизора NBC1-F наклонный 17-37`</t>
  </si>
  <si>
    <t>УТ000034580</t>
  </si>
  <si>
    <t>Кронштейн для телевизора NBC3-F наклонный 40-65`</t>
  </si>
  <si>
    <t>УТ000019734</t>
  </si>
  <si>
    <t>Кронштейн для телевизора UltraMounts UM830T наклонный 13-27` (33-68см) до 25кг</t>
  </si>
  <si>
    <t>УТ000046077</t>
  </si>
  <si>
    <t>Кронштейн для телевизора UltraMounts UM840T наклонный 43-90` (109-229см) до 70кг</t>
  </si>
  <si>
    <t>УТ000018775</t>
  </si>
  <si>
    <t>Кронштейн для телевизора наклонный 26-55" OT-HOD06</t>
  </si>
  <si>
    <t xml:space="preserve"> Кронштейны настольные</t>
  </si>
  <si>
    <t>УТ000044684</t>
  </si>
  <si>
    <t>Кронштейн настольный для телевизора 17-27" NB F80</t>
  </si>
  <si>
    <t>УТ000057846</t>
  </si>
  <si>
    <t>Кронштейн настольный для телевизора 17-27" OT-HOD22</t>
  </si>
  <si>
    <t xml:space="preserve"> Кронштейны фиксированный</t>
  </si>
  <si>
    <t>УТ000038985</t>
  </si>
  <si>
    <t>Кронштейн для телевизора 14-42" EP</t>
  </si>
  <si>
    <t>УТ000038925</t>
  </si>
  <si>
    <t>Кронштейн для телевизора 14-42" OT-HOD14</t>
  </si>
  <si>
    <t>УТ000058632</t>
  </si>
  <si>
    <t>Кронштейн для телевизора 14-42" черный H-27</t>
  </si>
  <si>
    <t>УТ000028110</t>
  </si>
  <si>
    <t>Кронштейн для телевизора 26-55" OT-HOD02 фиксированный черный</t>
  </si>
  <si>
    <t>УТ000042114</t>
  </si>
  <si>
    <t>Кронштейн для телевизора 26-55" фиксированный</t>
  </si>
  <si>
    <t>УТ000032508</t>
  </si>
  <si>
    <t>Кронштейн для телевизора H-01 14`-32` настенный</t>
  </si>
  <si>
    <t>УТ000032509</t>
  </si>
  <si>
    <t>Кронштейн для телевизора H-02 32`-42` настенный</t>
  </si>
  <si>
    <t>УТ000032510</t>
  </si>
  <si>
    <t>Кронштейн для телевизора H-03 40`-70` настенный</t>
  </si>
  <si>
    <t>УТ000035117</t>
  </si>
  <si>
    <t>Кронштейн для телевизора UltraMounts UM810F фиксированный 13-27` (33-68см) до 25кг</t>
  </si>
  <si>
    <t>УТ000057594</t>
  </si>
  <si>
    <t>Кронштейн для телевизора фиксированный ENERGY POWER 26-63`</t>
  </si>
  <si>
    <t>УТ000054632</t>
  </si>
  <si>
    <t>Кронштейн для телевизора фиксированный ENERGY POWER 26-65`</t>
  </si>
  <si>
    <t>УТ000056379</t>
  </si>
  <si>
    <t>Кронштейн для телевизора фиксированный ENERGY POWER 32-80`</t>
  </si>
  <si>
    <t>УТ000056387</t>
  </si>
  <si>
    <t>Кронштейн для телевизора фиксированный ENERGY POWER PL103 32-70`</t>
  </si>
  <si>
    <t xml:space="preserve"> Микрофоны вокальные</t>
  </si>
  <si>
    <t xml:space="preserve"> Микрофоны беспроводной c колонкой</t>
  </si>
  <si>
    <t>УТ000052276</t>
  </si>
  <si>
    <t>Микрофон для караоке c беспроводной колонкой OT-ERM04 (Bluetooth, microSD, USB) фиолетовый</t>
  </si>
  <si>
    <t>УТ000034065</t>
  </si>
  <si>
    <t>Микрофон для караоке c беспроводной колонкой OT-ERM05 (Bluetooth, microSD, USB) золото</t>
  </si>
  <si>
    <t>УТ000048056</t>
  </si>
  <si>
    <t>Микрофон для караоке c беспроводной колонкой WSTER WS-900 (Bluetooth, microSD, USB) красный</t>
  </si>
  <si>
    <t>УТ000052363</t>
  </si>
  <si>
    <t>Микрофон для караоке c беспроводной колонкой YS-09 (Bluetooth, microSD, USB) золото</t>
  </si>
  <si>
    <t>УТ000052454</t>
  </si>
  <si>
    <t>Микрофон для караоке c беспроводной колонкой YS-09 (Bluetooth, microSD, USB) красный</t>
  </si>
  <si>
    <t>УТ000052453</t>
  </si>
  <si>
    <t>Микрофон для караоке c беспроводной колонкой YS-09 (Bluetooth, microSD, USB) черный</t>
  </si>
  <si>
    <t>УТ000052452</t>
  </si>
  <si>
    <t>Микрофон для караоке c беспроводной колонкой YS-63 (Bluetooth, microSD, USB) золотой</t>
  </si>
  <si>
    <t xml:space="preserve"> Микрофоны беспроводные</t>
  </si>
  <si>
    <t>УТ000054008</t>
  </si>
  <si>
    <t>Микрофон для караоке ELMM-501 (2 микрофона, беспроводной)</t>
  </si>
  <si>
    <t xml:space="preserve"> Микрофоны проводные</t>
  </si>
  <si>
    <t>УТ000054006</t>
  </si>
  <si>
    <t>Микрофон для караоке, неразъемный провод 3м, штекер 6.3, ELMM-1031</t>
  </si>
  <si>
    <t>УТ000054003</t>
  </si>
  <si>
    <t>Микрофон для караоке, разъемный провод 3м, штекер 6.3, ELMM-01</t>
  </si>
  <si>
    <t>УТ000054004</t>
  </si>
  <si>
    <t>Микрофон для караоке, разъемный провод 3м, штекер 6.3, ELMM-226</t>
  </si>
  <si>
    <t xml:space="preserve"> Пульты дистанционного управления</t>
  </si>
  <si>
    <t xml:space="preserve"> Пульты для DVD</t>
  </si>
  <si>
    <t>00000004169</t>
  </si>
  <si>
    <t>Пульт универсальный для DVD HR-330E</t>
  </si>
  <si>
    <t xml:space="preserve"> Пульты для кондиционеров</t>
  </si>
  <si>
    <t>УТ000041970</t>
  </si>
  <si>
    <t>Пульт для кондиционеров универсальный Dream KT-E08 белый</t>
  </si>
  <si>
    <t>УТ000059223</t>
  </si>
  <si>
    <t>Пульт для кондиционеров универсальный K-1303E 6000 в 1 ClickPdu</t>
  </si>
  <si>
    <t xml:space="preserve"> Пульты для приставок спутникового и кабельного телевидения</t>
  </si>
  <si>
    <t>УТ000056698</t>
  </si>
  <si>
    <t>Внешний инфрокрасный приемник для ресиверов Триколор, LF-DX8</t>
  </si>
  <si>
    <t>УТ000041968</t>
  </si>
  <si>
    <t>Пульт для приставки Beeline MXV3 Dream ( Cisco, Tatung, Motorola)</t>
  </si>
  <si>
    <t>УТ000054383</t>
  </si>
  <si>
    <t>Пульт для приставки Dom.ru HD 5000 (KAON HD5000) кабельное TV</t>
  </si>
  <si>
    <t>УТ000055066</t>
  </si>
  <si>
    <t>Пульт для приставки Dom.ru/OnLime RM-E12 кабельное TV</t>
  </si>
  <si>
    <t>УТ000022807</t>
  </si>
  <si>
    <t>Пульт для приставки Globo E-RCU-015 (телекарта HD X8) SAT</t>
  </si>
  <si>
    <t>УТ000055068</t>
  </si>
  <si>
    <t>Пульт для приставки RedBox Атлант Телеком Mini(Фокус лайф) IP TV</t>
  </si>
  <si>
    <t>УТ000054410</t>
  </si>
  <si>
    <t>Пульт для приставки SberBOX SBDV-00001 Салют ТВ(Hyundai,BBK,Витязь(VITYAZ),STARWIND,SUNWIND,HI,Novex,DEXP,Sber,Prestigio,Vekta,OLTO,Irbis,Blackton,BQ)</t>
  </si>
  <si>
    <t>УТ000054851</t>
  </si>
  <si>
    <t>Пульт для приставки Tvip HOB1831 Huayu</t>
  </si>
  <si>
    <t>УТ000056067</t>
  </si>
  <si>
    <t>Пульт для приставки МТС DN300, DS300A, DC300A, IPTV Dream</t>
  </si>
  <si>
    <t>УТ000010802</t>
  </si>
  <si>
    <t>Пульт для приставки МТС SRC-3107 (RC-306C-05) с управл.голосом IPTV Huayu</t>
  </si>
  <si>
    <t>УТ000055960</t>
  </si>
  <si>
    <t>Пульт для приставки Ростелеком MAG-250 HD IPTV Huayu</t>
  </si>
  <si>
    <t>УТ000053519</t>
  </si>
  <si>
    <t>Пульт для приставки Ростелеком MAG-255 HD IPTV Huayu</t>
  </si>
  <si>
    <t>УТ000011986</t>
  </si>
  <si>
    <t>Пульт для приставки Ростелеком SML-282 HD Base (URC177500) Huayu</t>
  </si>
  <si>
    <t>УТ000054719</t>
  </si>
  <si>
    <t>Пульт для приставки Телекарта CHD-04/IR Continent SAT Huayu</t>
  </si>
  <si>
    <t>УТ000054721</t>
  </si>
  <si>
    <t>Пульт для приставки Телекарта EVO-02 (EVO ||) SAT Huayu</t>
  </si>
  <si>
    <t>УТ000054722</t>
  </si>
  <si>
    <t>Пульт для приставки Телекарта EVO-05  PVR SAT Huayu</t>
  </si>
  <si>
    <t>УТ000054717</t>
  </si>
  <si>
    <t>Пульт для приставки Телекарта EVO-1, Energy E1 (Openbox X-800SE) Sat Huayu</t>
  </si>
  <si>
    <t>УТ000042261</t>
  </si>
  <si>
    <t>Пульт для приставки Триколор DTS53 DTS54</t>
  </si>
  <si>
    <t>УТ000004391</t>
  </si>
  <si>
    <t>Пульт для приставки Триколор GS8300M</t>
  </si>
  <si>
    <t>00410052420</t>
  </si>
  <si>
    <t>Пульт для приставки Триколор GS8300N</t>
  </si>
  <si>
    <t>УТ000049219</t>
  </si>
  <si>
    <t>Пульт для приставки Триколор GS8306 +TV c возможностью управления тв различных брендов Huayu</t>
  </si>
  <si>
    <t>УТ000038535</t>
  </si>
  <si>
    <t>Пульт для приставки Триколор GS8306 +TV c возможностью управления тв различных брендов SAT, черный Dream</t>
  </si>
  <si>
    <t>УТ000004392</t>
  </si>
  <si>
    <t>Пульт для приставки Триколор GS8306 с кнопкой Кинозал SAT Huayu</t>
  </si>
  <si>
    <t>00401051549</t>
  </si>
  <si>
    <t>Пульт универсальный для приставок SAT, RM-3335 (для спутникового TV)</t>
  </si>
  <si>
    <t xml:space="preserve"> Пульты для цифровых приставок  DVB-T2</t>
  </si>
  <si>
    <t>УТ000053511</t>
  </si>
  <si>
    <t>Пульт для цифровых приставок DVB-T2 BarTon TH-562</t>
  </si>
  <si>
    <t>УТ000051426</t>
  </si>
  <si>
    <t>Пульт для цифровых приставок DVB-T2 Cadena HT-1110 GOLDMASTER T-707HD&amp;HDI</t>
  </si>
  <si>
    <t>УТ000051427</t>
  </si>
  <si>
    <t>Пульт для цифровых приставок DVB-T2 Cadena RC1631IR 1811 VAR1 (CDT-1652S) Huayu</t>
  </si>
  <si>
    <t>УТ000055062</t>
  </si>
  <si>
    <t>Пульт для цифровых приставок DVB-T2 D-Color DC1201HD (DC910HD.DC921HD) Huayu</t>
  </si>
  <si>
    <t>УТ000053512</t>
  </si>
  <si>
    <t>Пульт для цифровых приставок DVB-T2 D-Color DC711HD (Selenga, KASKAD/Master/DEXP VA2102HD, Harper.Cadena CDT-1711SB(RC100IR, CDT-100)</t>
  </si>
  <si>
    <t>УТ000055064</t>
  </si>
  <si>
    <t>Пульт для цифровых приставок DVB-T2 Hyundai H-DVB03T2 DVB-T2 (D-ColorDC921HD,WV T37,Supra SDT-95,Rolsen,DigilineGHB-898,EPLUTUS,Mystery MMP-70DT2)</t>
  </si>
  <si>
    <t>УТ000053517</t>
  </si>
  <si>
    <t>Пульт для цифровых приставок DVB-T2 Lumax DV-2118HD (DV-3201HD, Telefunken TF-DVBT221, DiVisat UnitGX) Huayu</t>
  </si>
  <si>
    <t>УТ000055065</t>
  </si>
  <si>
    <t>Пульт для цифровых приставок DVB-T2 ORIEL - 6 (для Oriel 312) DVB-T2</t>
  </si>
  <si>
    <t>УТ000055067</t>
  </si>
  <si>
    <t>Пульт для цифровых приставок DVB-T2 Rexant RX-511 (CADENA HT-1110,CDT-1791.Harper HDT2-1110, GODIGITAL 1306.Doffler.Reflect,BarTon TA-561) Huayu</t>
  </si>
  <si>
    <t>УТ000055070</t>
  </si>
  <si>
    <t>Пульт для цифровых приставок DVB-T2 World Vision Т62M(T61М,T62D,T64D,Е64M,T70,Selenga T42D,DEXP HD3552M) Huayu</t>
  </si>
  <si>
    <t>УТ000055961</t>
  </si>
  <si>
    <t>Пульт для цифровых приставок и IP TV универсальный DVB-T2+3 ver.2023 г заменяет 99% пультов Huayu</t>
  </si>
  <si>
    <t>УТ000037415</t>
  </si>
  <si>
    <t>Пульт для цифровых приставок универсальный DVB-T2</t>
  </si>
  <si>
    <t>УТ000053514</t>
  </si>
  <si>
    <t>Пульт для цифровых приставок универсальный DVB-T2+2 ver.2023 г, Huayu</t>
  </si>
  <si>
    <t>УТ000037414</t>
  </si>
  <si>
    <t>Пульт для цифровых приставок универсальный DVB-T2+TV</t>
  </si>
  <si>
    <t>УТ000055962</t>
  </si>
  <si>
    <t>Пульт для цифровых приставок универсальный DVB-T2+TV ver.2023 Huayu</t>
  </si>
  <si>
    <t>УТ000035405</t>
  </si>
  <si>
    <t>Пульт для цифровых приставок универсальный RC RM-1155+5</t>
  </si>
  <si>
    <t>УТ000044366</t>
  </si>
  <si>
    <t>Пульт для цифровых приставок универсальный RM-U1911 Dream</t>
  </si>
  <si>
    <t>УТ000042117</t>
  </si>
  <si>
    <t>Пульт для цифровых приставок универсальный Sparrow</t>
  </si>
  <si>
    <t>УТ000042116</t>
  </si>
  <si>
    <t>Пульт для цифровых приставок универсальный SVEC A8</t>
  </si>
  <si>
    <t>УТ000055063</t>
  </si>
  <si>
    <t>Пульт ДУ D-Color DC1201HD (DC910HD.DC921HD) DVB-T2</t>
  </si>
  <si>
    <t>УТ000048397</t>
  </si>
  <si>
    <t>Пульт универсальный для ресиверов, DVB-T2+3 ver.2022</t>
  </si>
  <si>
    <t xml:space="preserve"> Пульты программируемые</t>
  </si>
  <si>
    <t>УТ000059220</t>
  </si>
  <si>
    <t>Пульт  программируемый Delly Changer USB3 (4в1)</t>
  </si>
  <si>
    <t>УТ000059221</t>
  </si>
  <si>
    <t>Пульт  программируемый Delly Changer USB3 (DVD)</t>
  </si>
  <si>
    <t>УТ000059222</t>
  </si>
  <si>
    <t>Пульт  программируемый Delly Changer USB3 (TV)</t>
  </si>
  <si>
    <t>УТ000054637</t>
  </si>
  <si>
    <t>Пульт для проекторов универсальный RM-P1375 Huayu</t>
  </si>
  <si>
    <t>УТ000042262</t>
  </si>
  <si>
    <t>Пульт для телевизора универсальный RM-L1098+12 (LCD/LED/3D) программируемый Huayu</t>
  </si>
  <si>
    <t>УТ000058220</t>
  </si>
  <si>
    <t>Пульт для телевизора универсальный RM-L1120+X Plus (YouTube , ivi) программируемый Huayu</t>
  </si>
  <si>
    <t>УТ000055103</t>
  </si>
  <si>
    <t>Пульт для телевизора универсальный RM-L1130+X (LCD/LED/3D) программируемый Huayu</t>
  </si>
  <si>
    <t>УТ000055090</t>
  </si>
  <si>
    <t>Пульт для телевизора универсальный RM-L1195+X PLUS ver.2023 (LCD/LED/3D) программируемый Huayu</t>
  </si>
  <si>
    <t>УТ000056174</t>
  </si>
  <si>
    <t>Пульт для телевизора универсальный RM-L1376M+ (для большинства ТВ старых и новых моделей)</t>
  </si>
  <si>
    <t>УТ000000352</t>
  </si>
  <si>
    <t>Пульт ДУ RC RM-36E+S (программируемый)</t>
  </si>
  <si>
    <t xml:space="preserve"> Пульты телевизионные</t>
  </si>
  <si>
    <t xml:space="preserve"> Пульты для Akira, Akai, Elenberg, Erisson, Hyundai</t>
  </si>
  <si>
    <t>УТ000054385</t>
  </si>
  <si>
    <t>Пульт для телевизора Akai 2200-EDR0AKAI (2200EDROAKAI)(Samtron) черный TV Huayu</t>
  </si>
  <si>
    <t>УТ000055072</t>
  </si>
  <si>
    <t>Пульт для телевизора Akai CX-507  HYUNDAI H-LED19V13 Helix,DNS,Polar,Telefunken,Mystery,Hyundai) Huayu</t>
  </si>
  <si>
    <t>УТ000053522</t>
  </si>
  <si>
    <t>Пульт для телевизора Akai универсальный RM-L1602, ClickPdu</t>
  </si>
  <si>
    <t>УТ000054386</t>
  </si>
  <si>
    <t>Пульт для телевизора Akira RS41-DCG (32LEC05T2S) (Akai, AMCV.Fusion.Orion.Supra.Mystery,DEXP,Loview,Novex) Huayu</t>
  </si>
  <si>
    <t>УТ000056066</t>
  </si>
  <si>
    <t>Пульт для телевизора Akira RS41-DCG (Akai, AMCV.Fusion.Orion.Supra.Mystery,DEXP,Loview,Novex)   DREAM</t>
  </si>
  <si>
    <t>УТ000057977</t>
  </si>
  <si>
    <t>Пульт для телевизора Erisson RS41C0 (SHIVAKI,AKIRA,FUSION,SUPRA,ВИТЯЗЬ,VEKTASUZUKI,ORFEY ) DREAM ТЕХПАК</t>
  </si>
  <si>
    <t>УТ000058015</t>
  </si>
  <si>
    <t>Пульт для телевизора Erisson RS41C0 TIMESHIFT(Akira.Dexp.Fusion.Orion.Telefunken.Digma.Dofler.Harper.Econ) Huayu</t>
  </si>
  <si>
    <t>УТ000055074</t>
  </si>
  <si>
    <t>Пульт для телевизора Hyundai YDX-107 (H-LED49F502BS2S) ( Supra,Dexp,Econ)  LCD Smart TV</t>
  </si>
  <si>
    <t xml:space="preserve"> Пульты для BBK, Mystery</t>
  </si>
  <si>
    <t>УТ000006137</t>
  </si>
  <si>
    <t>Пульт для телевизора BBK универсальный RM-D1177  Live-Power</t>
  </si>
  <si>
    <t>УТ000054347</t>
  </si>
  <si>
    <t>Пульт для телевизора BBK универсальный RM-D1177 (включает все универсальные пульты BBK) Huayu</t>
  </si>
  <si>
    <t>УТ000054346</t>
  </si>
  <si>
    <t>Пульт для телевизора Mystery 19SECAP, MTV-4228LTA VAR2</t>
  </si>
  <si>
    <t>УТ000048162</t>
  </si>
  <si>
    <t>Пульт для телевизора Mystery MTV-2622LW Huayu</t>
  </si>
  <si>
    <t>УТ000048163</t>
  </si>
  <si>
    <t>Пульт для телевизора Mystery MTV-3224LT2 REC(Telefunken TF-LED32S37T2) Huayu</t>
  </si>
  <si>
    <t>УТ000053527</t>
  </si>
  <si>
    <t>Пульт для телевизора Mystery универсальный MTV-2622LW (корпус KT1045, для всех ТВ Mystery )  ClickPDU</t>
  </si>
  <si>
    <t xml:space="preserve"> Пульты для Daewoo</t>
  </si>
  <si>
    <t>00000003951</t>
  </si>
  <si>
    <t>Пульт для телевизора Daewoo универсальный RM-3317</t>
  </si>
  <si>
    <t>00400048046</t>
  </si>
  <si>
    <t>Пульт для телевизора Daewoo универсальный RM-515D</t>
  </si>
  <si>
    <t xml:space="preserve"> Пульты для DEXP, DNS, Doffler, Haier</t>
  </si>
  <si>
    <t>УТ000057978</t>
  </si>
  <si>
    <t>Пульт для телевизора DEXP 16A3000, CX509-DTV с функцией REC Dream</t>
  </si>
  <si>
    <t>УТ000046460</t>
  </si>
  <si>
    <t>Пульт для телевизора DEXP 16A3000, CX509-DTV с функцией REC Huayu</t>
  </si>
  <si>
    <t>УТ000055073</t>
  </si>
  <si>
    <t>Пульт для телевизора DEXP 34018478B LCD SMART TV</t>
  </si>
  <si>
    <t>УТ000054407</t>
  </si>
  <si>
    <t>Пульт для телевизора DEXP AN-1603 (AN1603) с голосовым упр.(HI, Novex,Витязь(VITYAS),Hyundai,Leff,STARWIND) LCD TV Huayu</t>
  </si>
  <si>
    <t>УТ000048161</t>
  </si>
  <si>
    <t>Пульт для телевизора DEXP EN2B27D LCD Smart TV Huayu</t>
  </si>
  <si>
    <t>УТ000046461</t>
  </si>
  <si>
    <t>Пульт для телевизора DEXP ER-22601A (Hisense, Supra, Doffler) Huayu</t>
  </si>
  <si>
    <t>УТ000054388</t>
  </si>
  <si>
    <t>Пульт для телевизора DEXP JKT-106B-2,GCBLTV70A-C35,D7-RC(Orion.Supra.Harper.Fusion.Goldstar.Hyunday,Econ)</t>
  </si>
  <si>
    <t>УТ000055963</t>
  </si>
  <si>
    <t>Пульт для телевизора DEXP VER1.0 (H32D7300K) LCD TV Huayu</t>
  </si>
  <si>
    <t>УТ000054406</t>
  </si>
  <si>
    <t>Пульт для телевизора DEXP VOICE RC18 с управл.голосом (Hyundai,Haier,Novex,HI,Telefunken,YUNO,Leff,AMCV,ECON) Smart TV</t>
  </si>
  <si>
    <t>УТ000053540</t>
  </si>
  <si>
    <t>Пульт для телевизора DEXP универсальный (DNS, Hisense, Rolsen) RM-L1365 Huayu</t>
  </si>
  <si>
    <t>УТ000054397</t>
  </si>
  <si>
    <t>Пульт для телевизора DEXP универсальный (DNS.DOFLER) RM-L1325 LCD ClickPdu</t>
  </si>
  <si>
    <t>УТ000051429</t>
  </si>
  <si>
    <t>Пульт для телевизора Doffler EN2B27DF LCD TV NETFLIX / YOUTUBE (EN2B27D)</t>
  </si>
  <si>
    <t>УТ000048622</t>
  </si>
  <si>
    <t>Пульт для телевизора Haier HTR-A10 LCD YouTube</t>
  </si>
  <si>
    <t>УТ000055080</t>
  </si>
  <si>
    <t>Пульт для телевизора Haier универсальный RM-L1535 Huayu</t>
  </si>
  <si>
    <t>УТ000056175</t>
  </si>
  <si>
    <t>Пульт для телевизора Haier универсальный RM-L1657 корпус HTR-A27 Huayu</t>
  </si>
  <si>
    <t>УТ000047810</t>
  </si>
  <si>
    <t>Пульт для телевизора Hisense EN2BB27H,EN2B27D YouTube (DEXP,Doffler) LCD Smart TV Huayu</t>
  </si>
  <si>
    <t>УТ000036440</t>
  </si>
  <si>
    <t>Пульт для телевизора Hisense EN2F30H,EN2F30D,EN2AJ30H (Doffler,DEXP) LCD Smart TV Huayu</t>
  </si>
  <si>
    <t>УТ000054636</t>
  </si>
  <si>
    <t>Пульт для телевизора Hisense ER-22655HS Huayu</t>
  </si>
  <si>
    <t xml:space="preserve"> Пульты для HIitachi</t>
  </si>
  <si>
    <t>00000004170</t>
  </si>
  <si>
    <t>Пульт для телевизора Hitachi универсальный RM-300B</t>
  </si>
  <si>
    <t xml:space="preserve"> Пульты для JVC</t>
  </si>
  <si>
    <t>УТ000015076</t>
  </si>
  <si>
    <t>Пульт для телевизора JVC KT1157-SX (Doffler) LCD Huayu</t>
  </si>
  <si>
    <t>00410059395</t>
  </si>
  <si>
    <t>Пульт для телевизора JVC универсальный RM-1011R Huayu</t>
  </si>
  <si>
    <t>УТ000054439</t>
  </si>
  <si>
    <t>Пульт для телевизора JVC универсальный RM-L1552 Huayu</t>
  </si>
  <si>
    <t xml:space="preserve"> Пульты для LG, Goldstar</t>
  </si>
  <si>
    <t>УТ000015069</t>
  </si>
  <si>
    <t>Пульт для телевизора Goldstar RC-200/Hyundai RC-2000C Huayu</t>
  </si>
  <si>
    <t>00410060144</t>
  </si>
  <si>
    <t>Пульт для телевизора LG AKB69680403</t>
  </si>
  <si>
    <t>УТ000004444</t>
  </si>
  <si>
    <t>Пульт для телевизора LG AKB72915244 LED TV</t>
  </si>
  <si>
    <t>УТ000008908</t>
  </si>
  <si>
    <t>Пульт для телевизора LG AKB73615303 LCD 3D Huayu</t>
  </si>
  <si>
    <t>УТ000009885</t>
  </si>
  <si>
    <t>Пульт для телевизора LG AKB73655802</t>
  </si>
  <si>
    <t>УТ000055075</t>
  </si>
  <si>
    <t>Пульт для телевизора LG AKB73715601</t>
  </si>
  <si>
    <t>УТ000008913</t>
  </si>
  <si>
    <t>Пульт для телевизора LG AKB73715603 LCD LED TV Huayu</t>
  </si>
  <si>
    <t>УТ000055076</t>
  </si>
  <si>
    <t>Пульт для телевизора LG AKB73715659 LCD SMART 3D (маленький корпус)</t>
  </si>
  <si>
    <t>УТ000055111</t>
  </si>
  <si>
    <t>Пульт для телевизора LG AKB73756502 LCD SMART 3D TV</t>
  </si>
  <si>
    <t>УТ000008961</t>
  </si>
  <si>
    <t>Пульт для телевизора LG AKB73975729 LCD SMART 3D (маленький корпус) TV</t>
  </si>
  <si>
    <t>УТ000027658</t>
  </si>
  <si>
    <t>Пульт для телевизора LG AKB74475490 LCD SMART TV (маленький корпус)</t>
  </si>
  <si>
    <t>УТ000055110</t>
  </si>
  <si>
    <t>Пульт для телевизора LG AKB75095312(75375611) LCD (с кнопкой  ivi) TV маленький корпус</t>
  </si>
  <si>
    <t>УТ000008967</t>
  </si>
  <si>
    <t>Пульт для телевизора LG MR20GA ( AKB76036901 ) с упр.голосом и мышью (Yasin, Ergo, Bahun (Bauhn), Kogan) Smart TV</t>
  </si>
  <si>
    <t>00410052976</t>
  </si>
  <si>
    <t>Пульт для телевизора LG MR21GA (AKB76036208) с упр.голосом и указкой Smart TV Huayu</t>
  </si>
  <si>
    <t>УТ000055088</t>
  </si>
  <si>
    <t>Пульт для телевизора LG MR21GA-IR-RU ClickPdu с колесом прокрутки без голоса</t>
  </si>
  <si>
    <t>УТ000053533</t>
  </si>
  <si>
    <t>Пульт для телевизора LG универсальный RM-002CB Huayu</t>
  </si>
  <si>
    <t>00000003515</t>
  </si>
  <si>
    <t>Пульт для телевизора LG универсальный RM-158CB Китай</t>
  </si>
  <si>
    <t>00000003516</t>
  </si>
  <si>
    <t>Пульт для телевизора LG универсальный RM-609CB++</t>
  </si>
  <si>
    <t>УТ000009005</t>
  </si>
  <si>
    <t>Пульт для телевизора LG универсальный RM-667CB Китай</t>
  </si>
  <si>
    <t>00410050338</t>
  </si>
  <si>
    <t>Пульт для телевизора LG универсальный RM-752CB LCD</t>
  </si>
  <si>
    <t>УТ000038538</t>
  </si>
  <si>
    <t>Пульт для телевизора LG универсальный RM-L1162 Dream</t>
  </si>
  <si>
    <t>УТ000053534</t>
  </si>
  <si>
    <t>Пульт для телевизора LG универсальный RM-L1162 с функцией SMART 3D LED TV, корпус AKB73715603, Huayu</t>
  </si>
  <si>
    <t>УТ000011972</t>
  </si>
  <si>
    <t>Пульт для телевизора LG универсальный RM-L1162W белый 3D LCD/LED TV Huayu</t>
  </si>
  <si>
    <t>УТ000053539</t>
  </si>
  <si>
    <t>Пульт для телевизора LG универсальный RM-L1379 TV, корпус  AKB75095312 VER.2, Huayu</t>
  </si>
  <si>
    <t>УТ000044371</t>
  </si>
  <si>
    <t>Пульт для телевизора LG универсальный RM-L1616 Dream</t>
  </si>
  <si>
    <t>УТ000053535</t>
  </si>
  <si>
    <t>Пульт для телевизора LG универсальный RM-L1726 для всех моделей LG TV (IVI, Netflix, Prime Video) Huayu</t>
  </si>
  <si>
    <t>УТ000054399</t>
  </si>
  <si>
    <t>Пульт для телевизора LG универсальный RM-L2022 ivi,OKKO,HD КиноПоиск  корпус AKB76037608 ClickPdu</t>
  </si>
  <si>
    <t>УТ000053536</t>
  </si>
  <si>
    <t>Пульт для телевизора LG универсальный RM-L810 корпус AKB33871413 Huayu</t>
  </si>
  <si>
    <t>00410059397</t>
  </si>
  <si>
    <t>Пульт для телевизора LG универсальный RM-L859 LCD Huayu</t>
  </si>
  <si>
    <t>УТ000054405</t>
  </si>
  <si>
    <t>Пульт для телевизора LG универсальный RM-L930 RU (RM-L930+) для всех моделей LG, корпус AKB73756502 Huayu</t>
  </si>
  <si>
    <t>УТ000038540</t>
  </si>
  <si>
    <t>Пульт для телевизора LG универсальный RM-L999+1 Dream</t>
  </si>
  <si>
    <t xml:space="preserve"> Пульты для Panasonic</t>
  </si>
  <si>
    <t>00000003517</t>
  </si>
  <si>
    <t>Пульт для телевизора Panasonic универсальный RM-520M</t>
  </si>
  <si>
    <t>00410055622</t>
  </si>
  <si>
    <t>Пульт для телевизора Panasonic универсальный RM-D720 LCD</t>
  </si>
  <si>
    <t>УТ000006135</t>
  </si>
  <si>
    <t>Пульт для телевизора Panasonic универсальный RM-D920+ LCD</t>
  </si>
  <si>
    <t>УТ000021956</t>
  </si>
  <si>
    <t>Пульт для телевизора Panasonic универсальный RM-L1268 с кнопкой NETFLIX Huayu</t>
  </si>
  <si>
    <t>УТ000038541</t>
  </si>
  <si>
    <t>Пульт для телевизора Panasonic универсальный URC-97 Dream</t>
  </si>
  <si>
    <t xml:space="preserve"> Пульты для Philips</t>
  </si>
  <si>
    <t>УТ000004456</t>
  </si>
  <si>
    <t>Пульт для телевизора Philips 2422 549 02454 (RC4747/01) TV</t>
  </si>
  <si>
    <t>УТ000010783</t>
  </si>
  <si>
    <t>Пульт для телевизора Philips 2422 549 90467 (YKF309-001)</t>
  </si>
  <si>
    <t>УТ000008981</t>
  </si>
  <si>
    <t>Пульт для телевизора Philips 2422 549 90477 3D LED LCD TV</t>
  </si>
  <si>
    <t>УТ000010626</t>
  </si>
  <si>
    <t>Пульт для телевизора Philips 9965 900 00449 ()YKF308-001 TV</t>
  </si>
  <si>
    <t>УТ000009363</t>
  </si>
  <si>
    <t>Пульт для телевизора Philips 9965 900 09443 LCD TV</t>
  </si>
  <si>
    <t>УТ000009364</t>
  </si>
  <si>
    <t>Пульт для телевизора Philips 9965 900 09748 LCD TV</t>
  </si>
  <si>
    <t>00410052937</t>
  </si>
  <si>
    <t>Пульт для телевизора Philips RC-2023601/01 TV</t>
  </si>
  <si>
    <t>УТ000004473</t>
  </si>
  <si>
    <t>Пульт для телевизора Philips RC-2023617</t>
  </si>
  <si>
    <t>УТ000055094</t>
  </si>
  <si>
    <t>Пульт для телевизора Philips универсальный RM-022C-1 для старых моделей корпус RC2835/01 Huayu</t>
  </si>
  <si>
    <t>УТ000008991</t>
  </si>
  <si>
    <t>Пульт для телевизора Philips универсальный RM-670C+ LCD LED TV Huayu</t>
  </si>
  <si>
    <t>УТ000005516</t>
  </si>
  <si>
    <t>Пульт для телевизора Philips универсальный RM-D1000 корпус RC-2143606 Huayu</t>
  </si>
  <si>
    <t>УТ000004587</t>
  </si>
  <si>
    <t>Пульт для телевизора Philips универсальный RM-D1110 LCD</t>
  </si>
  <si>
    <t>УТ000000296</t>
  </si>
  <si>
    <t>Пульт для телевизора Philips универсальный RM-L1030 RC 2422 5490 2543 овал Huayu</t>
  </si>
  <si>
    <t>УТ000041336</t>
  </si>
  <si>
    <t>Пульт для телевизора Philips универсальный RM-L1128 Dream</t>
  </si>
  <si>
    <t>УТ000041969</t>
  </si>
  <si>
    <t>Пульт для телевизора Philips универсальный RM-L1220 Dream</t>
  </si>
  <si>
    <t>УТ000055096</t>
  </si>
  <si>
    <t>Пульт для телевизора Philips универсальный RM-L1220 LCD корпус 9965 900 09443 Huayu</t>
  </si>
  <si>
    <t>УТ000055097</t>
  </si>
  <si>
    <t>Пульт для телевизора Philips универсальный RM-L1225 LCD NEW корпус 996590009443 Huayu</t>
  </si>
  <si>
    <t>УТ000008994</t>
  </si>
  <si>
    <t>Пульт универсальный для Philips, RM-L1225</t>
  </si>
  <si>
    <t xml:space="preserve"> Пульты для Polar, Rolsen, Rubin</t>
  </si>
  <si>
    <t>УТ000053528</t>
  </si>
  <si>
    <t>Пульт для телевизора Polar универсальный RM-L1057 (Shivaki, Izumi, DNS, Orion, Akira, Supra, Rolsen, BBK, Saturn) ClickPDU</t>
  </si>
  <si>
    <t>УТ000054725</t>
  </si>
  <si>
    <t>Пульт для телевизора Polar универсальный RM-L1153+3 (Akai, Aoc, Dexp, DNS, DOffler, Elenberg, Erisson, Fusion, Harper, Hyundai, Skyline, Telefunken, Vityaz, Vekta) DREAM</t>
  </si>
  <si>
    <t>УТ000055079</t>
  </si>
  <si>
    <t>Пульт для телевизора Rolsen RC-A06 (RL-32B05F,RB-32K101U,Irbis T24Q44HAL) TV</t>
  </si>
  <si>
    <t>УТ000027707</t>
  </si>
  <si>
    <t>Пульт для телевизора Rubin RB-28D7T2C/CX509</t>
  </si>
  <si>
    <t>00000003487</t>
  </si>
  <si>
    <t>Пульт для телевизора Rubin RC-7 белый TV</t>
  </si>
  <si>
    <t>УТ000015142</t>
  </si>
  <si>
    <t>Пульт для телевизора Rubin RC-7 черный TV</t>
  </si>
  <si>
    <t xml:space="preserve"> Пульты для Samsung</t>
  </si>
  <si>
    <t>УТ000010617</t>
  </si>
  <si>
    <t>Пульт для телевизора Samsung AA59-00602A LED TV</t>
  </si>
  <si>
    <t>УТ000004489</t>
  </si>
  <si>
    <t>Пульт для телевизора Samsung AA59-00603A LED TV</t>
  </si>
  <si>
    <t>УТ000055081</t>
  </si>
  <si>
    <t>Пульт для телевизора Samsung AA59-00741A LED TV</t>
  </si>
  <si>
    <t>УТ000009369</t>
  </si>
  <si>
    <t>Пульт для телевизора Samsung AA59-00818A 3D LCD (маленький корпус)</t>
  </si>
  <si>
    <t>УТ000008986</t>
  </si>
  <si>
    <t>Пульт для телевизора Samsung BN59-01178B (STB) LED SMART TV</t>
  </si>
  <si>
    <t>УТ000055082</t>
  </si>
  <si>
    <t>Пульт для телевизора Samsung BN59-01198C LCD LED TV</t>
  </si>
  <si>
    <t>УТ000004984</t>
  </si>
  <si>
    <t>Пульт для телевизора Samsung BN59-01199G LED Smart TV</t>
  </si>
  <si>
    <t>УТ000055964</t>
  </si>
  <si>
    <t>Пульт для телевизора Samsung BN59-01312B (BN59-01274A, BN59-01242A) Smart control с управл.голосом Huayu</t>
  </si>
  <si>
    <t>УТ000055965</t>
  </si>
  <si>
    <t>Пульт для телевизора Samsung BN59-01350J (BN59-01357C, BN59-01357H , BN59-01357B) Smart control с управл.голосом Huayu</t>
  </si>
  <si>
    <t>УТ000055966</t>
  </si>
  <si>
    <t>Пульт для телевизора Samsung BN59-01363A Smart control QLED 8K с управл.голосом Huayu</t>
  </si>
  <si>
    <t>УТ000059306</t>
  </si>
  <si>
    <t>Пульт для телевизора Samsung BN59-01363G Smart TV с управл.голосом Dream</t>
  </si>
  <si>
    <t>УТ000055071</t>
  </si>
  <si>
    <t>Пульт для телевизора Samsung BN59-01363G Smart TV с управл.голосом Huayu</t>
  </si>
  <si>
    <t>УТ000004471</t>
  </si>
  <si>
    <t>Пульт для телевизора Samsung BN59-01363J Smart TV с управл.голосом Huayu</t>
  </si>
  <si>
    <t>УТ000053532</t>
  </si>
  <si>
    <t>Пульт для телевизора Samsung универсальный RM-016FC-1 для старых моделей Huayu</t>
  </si>
  <si>
    <t>УТ000054400</t>
  </si>
  <si>
    <t>Пульт для телевизора Samsung универсальный RM-179FC-1 для старых моделей,универсальный Samsung Huayu</t>
  </si>
  <si>
    <t>УТ000055100</t>
  </si>
  <si>
    <t>Пульт для телевизора Samsung универсальный RM-552FC корпус AA59-00370A для старых моделей Samsung Huayu</t>
  </si>
  <si>
    <t>00000003522</t>
  </si>
  <si>
    <t>Пульт для телевизора Samsung универсальный RM-658F корпус AA59-00401B Huayu</t>
  </si>
  <si>
    <t>УТ000032987</t>
  </si>
  <si>
    <t>Пульт для телевизора Samsung универсальный RM-D1078+ Dream</t>
  </si>
  <si>
    <t>УТ000055101</t>
  </si>
  <si>
    <t>Пульт для телевизора Samsung универсальный RM-D1078+2 Netflix, prime video корпус AA59-00582A Huayu</t>
  </si>
  <si>
    <t>УТ000055969</t>
  </si>
  <si>
    <t>Пульт для телевизора Samsung универсальный RM-G1800 V1 SmartTv  корпус BN59-01274A Huayu</t>
  </si>
  <si>
    <t>УТ000055089</t>
  </si>
  <si>
    <t>Пульт для телевизора Samsung универсальный RM-G2500 V4 Smart TV с упр. голосом корпус BN59-01350J</t>
  </si>
  <si>
    <t>УТ000044372</t>
  </si>
  <si>
    <t>Пульт для телевизора Samsung универсальный RM-L1080+ Dream</t>
  </si>
  <si>
    <t>УТ000057984</t>
  </si>
  <si>
    <t>Пульт для телевизора Samsung универсальный RM-L1080+ Dream техпак</t>
  </si>
  <si>
    <t>УТ000055767</t>
  </si>
  <si>
    <t>Пульт для телевизора Samsung универсальный RM-L1088 LCD/LED TV Dream</t>
  </si>
  <si>
    <t>УТ000048393</t>
  </si>
  <si>
    <t>Пульт для телевизора Samsung универсальный RM-L1088+1 NEW Live-Power</t>
  </si>
  <si>
    <t>УТ000055099</t>
  </si>
  <si>
    <t>Пульт для телевизора Samsung универсальный RM-L1089 корпус BN59-01268D prime video ,Netflix,3D,Smart HUB LCD Huayu</t>
  </si>
  <si>
    <t>УТ000010281</t>
  </si>
  <si>
    <t>Пульт для телевизора Samsung универсальный RM-L1593 корпус BN59-01259B, ИК сигнал LCD Smart TV Huayu</t>
  </si>
  <si>
    <t>УТ000055086</t>
  </si>
  <si>
    <t>Пульт для телевизора Samsung универсальный RM-L1598  LCD SMART TV ClickPdu</t>
  </si>
  <si>
    <t>УТ000057187</t>
  </si>
  <si>
    <t>Пульт для телевизора Samsung универсальный RM-L1598  LCD SMART TV LivePower</t>
  </si>
  <si>
    <t>УТ000055970</t>
  </si>
  <si>
    <t>Пульт для телевизора Samsung универсальный RM-L1611 на ИК сигнале корпус BN59-01312B Huayu</t>
  </si>
  <si>
    <t>УТ000044373</t>
  </si>
  <si>
    <t>Пульт для телевизора Samsung универсальный RM-L1618 Dream</t>
  </si>
  <si>
    <t>УТ000053541</t>
  </si>
  <si>
    <t>Пульт для телевизора Samsung универсальный RM-L1618 корпус BN59-01315B Huayu</t>
  </si>
  <si>
    <t>УТ000000355</t>
  </si>
  <si>
    <t>Пульт для телевизора Samsung универсальный RM-L919 Live-Power</t>
  </si>
  <si>
    <t>УТ000055971</t>
  </si>
  <si>
    <t>Пульт универсальный для Samsung, RM-L1088+1</t>
  </si>
  <si>
    <t xml:space="preserve"> Пульты для Sanyo, Shivaki</t>
  </si>
  <si>
    <t>УТ000054387</t>
  </si>
  <si>
    <t>Пульт для телевизора Shivaki 2200-ED00SH,2200-ED00SHIV(Polar 2200-ED00POLA,Erisson 2200-ED00ERIS)LCD TV</t>
  </si>
  <si>
    <t>УТ000007398</t>
  </si>
  <si>
    <t>Пульт универсальный для RM-L905 (LCD/LED/SANYO)</t>
  </si>
  <si>
    <t xml:space="preserve"> Пульты для Sharp</t>
  </si>
  <si>
    <t>УТ000055083</t>
  </si>
  <si>
    <t>Пульт для телевизора Sharp GJ210(Haier LT-19A1)  LCD TV Huayu</t>
  </si>
  <si>
    <t>УТ000055084</t>
  </si>
  <si>
    <t>Пульт для телевизора Sharp GJ220  LCD TV</t>
  </si>
  <si>
    <t>УТ000054241</t>
  </si>
  <si>
    <t>Пульт для телевизора Sharp LC-32HI3222E LCDTV</t>
  </si>
  <si>
    <t xml:space="preserve"> Пульты для Sony</t>
  </si>
  <si>
    <t>УТ000010779</t>
  </si>
  <si>
    <t>Пульт для телевизора Sony RM-ED054</t>
  </si>
  <si>
    <t>УТ000009403</t>
  </si>
  <si>
    <t>Пульт для телевизора Sony RM-ED062 LCD TV</t>
  </si>
  <si>
    <t>УТ000010791</t>
  </si>
  <si>
    <t>Пульт для телевизора Sony универсальный RM-D998 Live-Power</t>
  </si>
  <si>
    <t>УТ000009001</t>
  </si>
  <si>
    <t>Пульт для телевизора Sony универсальный RM-L1165 3D LCD/LED Huayu</t>
  </si>
  <si>
    <t>УТ000055102</t>
  </si>
  <si>
    <t>Пульт для телевизора Sony универсальный RM-L1185 корпус RM-ED062 Huayu</t>
  </si>
  <si>
    <t>УТ000055069</t>
  </si>
  <si>
    <t>Пульт для телевизора Sony универсальный RM-L1275 корпус RMT-TX101D Huayu</t>
  </si>
  <si>
    <t>УТ000055109</t>
  </si>
  <si>
    <t>Пульт для телевизора Sony универсальный RM-L1351 корпус RMF-TX300 Google Play, YouTube, Netflix Huayu</t>
  </si>
  <si>
    <t>УТ000038539</t>
  </si>
  <si>
    <t>Пульт для телевизора Sony универсальный RM-L1370  Dream</t>
  </si>
  <si>
    <t>УТ000027668</t>
  </si>
  <si>
    <t>Пульт для телевизора Sony универсальный RM-L1370 LCD</t>
  </si>
  <si>
    <t>УТ000058017</t>
  </si>
  <si>
    <t>Пульт для телевизора Sony универсальный RM-L1690 корпус RMF-TX520E Huayu</t>
  </si>
  <si>
    <t>УТ000058018</t>
  </si>
  <si>
    <t>Пульт для телевизора Sony универсальный RM-L1770 корпус RMF-TX520 Huayu</t>
  </si>
  <si>
    <t xml:space="preserve"> Пульты для Supra, Telefunken</t>
  </si>
  <si>
    <t>УТ000054390</t>
  </si>
  <si>
    <t>Пульт для телевизора Supra AL52D-B (RC19) (STV-LC24LT0010W)(Econ,Orion,Erisson,Fusion,BQ,Harper,Kraft,Океан,DEXP,DNS)</t>
  </si>
  <si>
    <t>УТ000055085</t>
  </si>
  <si>
    <t>Пульт для телевизора Supra HOF14J016GPD10, HOF14H536GPD5(Aiwa,Goldstar,Erisson.Telefunken) LCD TV</t>
  </si>
  <si>
    <t>УТ000056064</t>
  </si>
  <si>
    <t>Пульт для телевизора Supra RC-19 (Supra, Erisson, Harper, HIBERG, Океан, Orion, KRAFT, FUSION, Akai, Hartens, BQ, ECON, Blackton, Skyline, Telefunken) DREAM</t>
  </si>
  <si>
    <t>УТ000054389</t>
  </si>
  <si>
    <t>Пульт для телевизора Supra RC2000E02,STV-LC32T850WL, Mystery MTV-3027LT2 LCD(Thomson,Hyundai,Telefunken,Fusio)</t>
  </si>
  <si>
    <t>УТ000055967</t>
  </si>
  <si>
    <t>Пульт для телевизора Supra RCF3B/RC5B/RCF2B/RC7b/RCF8b /RC9B/RC17B ic LCD TV Huayu</t>
  </si>
  <si>
    <t>УТ000054391</t>
  </si>
  <si>
    <t>Пульт для телевизора Supra RS41-MOUSE (STV-LC32ST3001F,Akira39LES04T2P,AMCV,Dexp,Leben) LCD TV</t>
  </si>
  <si>
    <t>УТ000057976</t>
  </si>
  <si>
    <t>Пульт для телевизора Supra RS41-MOUSE Dream (STV-LC32ST3001F,Akira39LES04T2P,AMCV,Dexp,Leben) LCD TV</t>
  </si>
  <si>
    <t>УТ000054392</t>
  </si>
  <si>
    <t>Пульт для телевизора Supra Y-72C/Y-72C1 (Fusion, Aiwa)</t>
  </si>
  <si>
    <t>УТ000005519</t>
  </si>
  <si>
    <t>Пульт для телевизора Supra Y-72C2 (Timeshift) LCD</t>
  </si>
  <si>
    <t>УТ000054393</t>
  </si>
  <si>
    <t>Пульт для телевизора Supra Y-72C3 (STV-LC19T410WL) (Goldstar, Aiwa, Orion)</t>
  </si>
  <si>
    <t>УТ000053529</t>
  </si>
  <si>
    <t>Пульт для телевизора Supra универсальный RM-L1042+2 (Mystery, Hyundai, Fusion, Shivaki, General, Izumi) Huayu</t>
  </si>
  <si>
    <t>УТ000011992</t>
  </si>
  <si>
    <t>Пульт для телевизора Supra универсальный RM-L1097 ClickPdu</t>
  </si>
  <si>
    <t>УТ000058016</t>
  </si>
  <si>
    <t>Пульт для телевизора Supra универсальный RM-L1211 (Akai, Dexp, Dns, Rolsen, Vityaz) Huayu</t>
  </si>
  <si>
    <t>УТ000054394</t>
  </si>
  <si>
    <t>Пульт для телевизора Telefunken 507DTV (TF-LED28S9T2)(Mystery.Dexp.DNS.Doffler.Erisson.Izumi,Helix,Soundmax)</t>
  </si>
  <si>
    <t>УТ000053530</t>
  </si>
  <si>
    <t>Пульт для телевизора Telefunken универсальный для всех моделей RM-L1595 ClickPdu</t>
  </si>
  <si>
    <t xml:space="preserve"> Пульты для Thomson</t>
  </si>
  <si>
    <t>УТ000053542</t>
  </si>
  <si>
    <t>Пульт для телевизора Thomson универсальный RM-TH100 корпус RCT-100 Huayu</t>
  </si>
  <si>
    <t xml:space="preserve"> Пульты для Toshiba</t>
  </si>
  <si>
    <t>УТ000015140</t>
  </si>
  <si>
    <t>Пульт для телевизора Toshiba CT-90326</t>
  </si>
  <si>
    <t>00000003530</t>
  </si>
  <si>
    <t>Пульт для телевизора Toshiba универсальный RM-162B</t>
  </si>
  <si>
    <t>УТ000046242</t>
  </si>
  <si>
    <t>Пульт для телевизора Toshiba универсальный RM-L890+ Huayu</t>
  </si>
  <si>
    <t xml:space="preserve"> Пульты для других брендов</t>
  </si>
  <si>
    <t>00000004167</t>
  </si>
  <si>
    <t>Пульт для телевизора Aiwa универсальный RM-053N</t>
  </si>
  <si>
    <t>УТ000054398</t>
  </si>
  <si>
    <t>Пульт для телевизора Asano универсальный RS41 SMART ClickPDU (Akai,BQ(Bright&amp;Quick),Daewoo,Dexp,Econ,Erisson,Fusion,Harper,Hi,Hyundai,Lumus,Mystery) ClickPdu</t>
  </si>
  <si>
    <t>00410060162</t>
  </si>
  <si>
    <t>Пульт для телевизора Mitsubishi универсальный RM-011S</t>
  </si>
  <si>
    <t>УТ000042193</t>
  </si>
  <si>
    <t>Пульт для телевизора TCL универсальный TC-97E</t>
  </si>
  <si>
    <t>УТ000053543</t>
  </si>
  <si>
    <t>Пульт для телевизора Vestel универсальный для всех моделей TV RM-L1200+ Huayu</t>
  </si>
  <si>
    <t xml:space="preserve"> Пульты универсальные мини</t>
  </si>
  <si>
    <t>00410055608</t>
  </si>
  <si>
    <t>Пульт ДУ mini универсал JS-02 (TV)</t>
  </si>
  <si>
    <t>УТ000001492</t>
  </si>
  <si>
    <t>Пульт ДУ универсальный MINI (TV)</t>
  </si>
  <si>
    <t xml:space="preserve"> Чехлы для пультов и аксессуары</t>
  </si>
  <si>
    <t>УТ000027722</t>
  </si>
  <si>
    <t>Чехол для пульта ДУ 60х130</t>
  </si>
  <si>
    <t>УТ000027723</t>
  </si>
  <si>
    <t>Чехол для пульта ДУ 60х150</t>
  </si>
  <si>
    <t>УТ000055974</t>
  </si>
  <si>
    <t>Чехол для пульта ДУ WiMax 45х150</t>
  </si>
  <si>
    <t>УТ000054516</t>
  </si>
  <si>
    <t>Чехол для пульта ДУ WiMax 45х170</t>
  </si>
  <si>
    <t>УТ000027710</t>
  </si>
  <si>
    <t>Чехол для пульта ДУ WiMax 50х130</t>
  </si>
  <si>
    <t>УТ000027711</t>
  </si>
  <si>
    <t>Чехол для пульта ДУ WiMax 50х150</t>
  </si>
  <si>
    <t>УТ000048598</t>
  </si>
  <si>
    <t>Чехол для пульта ДУ WiMax 50х170</t>
  </si>
  <si>
    <t>УТ000027715</t>
  </si>
  <si>
    <t>Чехол для пульта ДУ WiMax 50х190</t>
  </si>
  <si>
    <t>УТ000048599</t>
  </si>
  <si>
    <t>Чехол для пульта ДУ WiMax 50х210</t>
  </si>
  <si>
    <t>УТ000027719</t>
  </si>
  <si>
    <t>Чехол для пульта ДУ WiMax 50х230</t>
  </si>
  <si>
    <t>УТ000027724</t>
  </si>
  <si>
    <t>Чехол для пульта ДУ WiMax 60х170</t>
  </si>
  <si>
    <t>УТ000027725</t>
  </si>
  <si>
    <t>Чехол для пульта ДУ WiMax 60х190</t>
  </si>
  <si>
    <t>УТ000027727</t>
  </si>
  <si>
    <t>Чехол для пульта ДУ WiMax 60х210</t>
  </si>
  <si>
    <t>УТ000027729</t>
  </si>
  <si>
    <t>Чехол для пульта ДУ WiMax 60х250</t>
  </si>
  <si>
    <t xml:space="preserve"> Радиоприемники, магнитоллы</t>
  </si>
  <si>
    <t>УТ000010504</t>
  </si>
  <si>
    <t>Радиоприемник Fepe FP-1366 аналоговый, стрелочный дисплей, FM, AM, СВ, пит. сетевой 220В+батарейки 2хR20</t>
  </si>
  <si>
    <t>УТ000029701</t>
  </si>
  <si>
    <t>Радиоприемник Fepe FP-1821U аналоговый, стрелочный дисплей, FM, AM, СВ, пит.сетевой 220В+батарейки 2хR20</t>
  </si>
  <si>
    <t>УТ000040901</t>
  </si>
  <si>
    <t>Радиоприемник портативный "Эфир-13", FM 64-108МГц, бат. 4*R20, 220V, USB/SD/microSD/AUX</t>
  </si>
  <si>
    <t>УТ000010842</t>
  </si>
  <si>
    <t>Радиоприемник портативный Fepe FP-1360U (Аналоговый, FM, AM, СВ, диспл.Стрелочный, пит.сетевой+2хR20, USB, SD, TF, фонарик, AUX, разъем для микр., светомузыка) (О`)</t>
  </si>
  <si>
    <t>УТ000009428</t>
  </si>
  <si>
    <t>Радиоприемник портативный Fepe FP-1372U (Цифровой, FM, AM, СВ, светомуз.RGB, пит.сетевой+2хR20, USB, SD, AUX)</t>
  </si>
  <si>
    <t>УТ000020003</t>
  </si>
  <si>
    <t>Радиоприемник портативный Fepe FP-1775U (Аналоговый, FM, AM, СВ, диспл.Стрелочный, пит.сетевой+2хR20, черный, серый)</t>
  </si>
  <si>
    <t>УТ000020005</t>
  </si>
  <si>
    <t>Радиоприемник портативный Fepe FP-1781BT (Аналоговый, FM, AM, СВ, диспл.Стрелочный, пит.сетевой+2хR20, черный, серый)</t>
  </si>
  <si>
    <t>УТ000056562</t>
  </si>
  <si>
    <t>Радиоприемник портативный Fepe FP-221 USB,TF,Bluetooth</t>
  </si>
  <si>
    <t>УТ000043692</t>
  </si>
  <si>
    <t>Радиоприемник портативный Fepe FP-252BT-S, солнечная панель</t>
  </si>
  <si>
    <t>УТ000043693</t>
  </si>
  <si>
    <t>Радиоприемник портативный Fepe FP-256BT-S, солнечная панель</t>
  </si>
  <si>
    <t>УТ000058654</t>
  </si>
  <si>
    <t>Радиоприемник портативный Fepe FP-285BT</t>
  </si>
  <si>
    <t>УТ000058655</t>
  </si>
  <si>
    <t>Радиоприемник портативный Fepe FP-308BT</t>
  </si>
  <si>
    <t>УТ000024681</t>
  </si>
  <si>
    <t>Радиоприемник портативный GOLON 608</t>
  </si>
  <si>
    <t>УТ000024679</t>
  </si>
  <si>
    <t>Радиоприемник портативный GOLON RX-606AC</t>
  </si>
  <si>
    <t>УТ000055582</t>
  </si>
  <si>
    <t>Радиоприемник портативный RDD RD-319BTS USB, TF, солнечная панель</t>
  </si>
  <si>
    <t>УТ000010838</t>
  </si>
  <si>
    <t>Радиоприемник портативный RRS RS-2400 (Аналоговый, FM, AM, СВ, диспл.Стрелочный, пит.сетевой+2хR20)</t>
  </si>
  <si>
    <t>УТ000041086</t>
  </si>
  <si>
    <t>Радиоприемник портативный Waxiba XB-772BT</t>
  </si>
  <si>
    <t>УТ000046470</t>
  </si>
  <si>
    <t>Радиоприемник портативный XBSontec XB-1525URT</t>
  </si>
  <si>
    <t>УТ000048628</t>
  </si>
  <si>
    <t>Радиоприемник портативный XBSontec XB-1780URT</t>
  </si>
  <si>
    <t xml:space="preserve"> Рации и аксессуары</t>
  </si>
  <si>
    <t xml:space="preserve"> Рации портативные</t>
  </si>
  <si>
    <t xml:space="preserve"> Антенны для портативных рации</t>
  </si>
  <si>
    <t>УТ000051391</t>
  </si>
  <si>
    <t>Антенна для рации SMA-F телескопическая (14-40 см)</t>
  </si>
  <si>
    <t>УТ000057341</t>
  </si>
  <si>
    <t>Антенна для рации SMA-Female, длина 38см (144/437MHz) OT-RCK08</t>
  </si>
  <si>
    <t>УТ000047839</t>
  </si>
  <si>
    <t>Антенна для рации SMA-Female, усиление 3db, длина 14см (400/470MHz)</t>
  </si>
  <si>
    <t xml:space="preserve"> Двухдиапозонные рации 136-174/400-520МГц (VHF/UHF)</t>
  </si>
  <si>
    <t>УТ000056440</t>
  </si>
  <si>
    <t>Рация Baofeng UV-10R 136-174/400-520МГц (VHF/UHF)</t>
  </si>
  <si>
    <t>УТ000056441</t>
  </si>
  <si>
    <t>Рация Baofeng UV-16 Plus 136-174/400-520МГц (VHF/UHF)</t>
  </si>
  <si>
    <t>УТ000029707</t>
  </si>
  <si>
    <t>Рация Baofeng UV-5R 5Вт 136-174/400-520МГц (VHF/UHF) 128 каналов</t>
  </si>
  <si>
    <t>УТ000056378</t>
  </si>
  <si>
    <t>Рация Baofeng UV-5R 5Вт 136-174/400-520МГц (VHF/UHF) 128 каналов комуфляж</t>
  </si>
  <si>
    <t xml:space="preserve"> Однодиапозонные рации 400-470МГц (UHF)</t>
  </si>
  <si>
    <t>УТ000007145</t>
  </si>
  <si>
    <t>Рация Baofeng BF-666S 5Вт 400-470МГц (UHF)</t>
  </si>
  <si>
    <t>УТ000007146</t>
  </si>
  <si>
    <t>Рация Baofeng BF-777S 5Вт 400-470МГц (UHF)</t>
  </si>
  <si>
    <t>УТ000051706</t>
  </si>
  <si>
    <t>Рация Baofeng BF-800S 5Вт 400-470МГц (UHF)</t>
  </si>
  <si>
    <t>УТ000004215</t>
  </si>
  <si>
    <t>Рация Baofeng BF-888S 5Вт 400-470МГц (UHF)</t>
  </si>
  <si>
    <t>УТ000023154</t>
  </si>
  <si>
    <t>Рация Baofeng BF-999S 5Вт 400-470МГц (UHF)</t>
  </si>
  <si>
    <t>УТ000020714</t>
  </si>
  <si>
    <t>Рация Baofeng BF-T1 1Вт 400-470МГц (UHF)</t>
  </si>
  <si>
    <t>УТ000050184</t>
  </si>
  <si>
    <t>Рация Baofeng T-388, Цветная, 2шт</t>
  </si>
  <si>
    <t>УТ000023155</t>
  </si>
  <si>
    <t>Рация Baofeng UV-8D (UHF)</t>
  </si>
  <si>
    <t>УТ000003097</t>
  </si>
  <si>
    <t>Рация T-388 (UHF) 2шт. до 3км OT-RCR04</t>
  </si>
  <si>
    <t xml:space="preserve"> Системы видеонаблюдения</t>
  </si>
  <si>
    <t xml:space="preserve"> Муляжи видеокамер</t>
  </si>
  <si>
    <t>УТ000010819</t>
  </si>
  <si>
    <t>Муляж видеокамеры купольной 1LED, мигает, питание: 2*АAA</t>
  </si>
  <si>
    <t>УТ000041078</t>
  </si>
  <si>
    <t>Муляж видеокамеры, 1 красный LED мигает, белый</t>
  </si>
  <si>
    <t>УТ000041079</t>
  </si>
  <si>
    <t>Муляж видеокамеры, 1 красный LED мигает, питание: 3*АAА, белый</t>
  </si>
  <si>
    <t>УТ000010820</t>
  </si>
  <si>
    <t>Муляж видеокамеры, 1LED мигает, питание: 2*АAA</t>
  </si>
  <si>
    <t>УТ000050784</t>
  </si>
  <si>
    <t>Муляж видеокамеры, OT-VNP34</t>
  </si>
  <si>
    <t>УТ000011169</t>
  </si>
  <si>
    <t>Муляж видеокамеры, купольная, 1 красный LED мигает, питание: 3*АA</t>
  </si>
  <si>
    <t>УТ000010818</t>
  </si>
  <si>
    <t>Муляж видеокамеры, купольная, 1LED мигает, питание: 2*АA</t>
  </si>
  <si>
    <t>УТ000010822</t>
  </si>
  <si>
    <t>УТ000040146</t>
  </si>
  <si>
    <t>Муляж видеокамеры, солнечная панель, 1 красный LED мигает, серебро</t>
  </si>
  <si>
    <t>УТ000040147</t>
  </si>
  <si>
    <t>Муляж видеокамеры, солнечная панель, 1 красный LED мигает, черный</t>
  </si>
  <si>
    <t xml:space="preserve"> Телевизионные антенны и принадлежности</t>
  </si>
  <si>
    <t xml:space="preserve"> Антенны телевизионные</t>
  </si>
  <si>
    <t xml:space="preserve"> Антенны комнатные</t>
  </si>
  <si>
    <t>УТ000014208</t>
  </si>
  <si>
    <t>Антенна комнатная телескопическая МВ+ДМВ RGB 618 Tech-1063</t>
  </si>
  <si>
    <t>УТ000021725</t>
  </si>
  <si>
    <t>Антенна комнатная, активная DVB-T и ДМВ+МВ Сигнал SAI 119, коэф. усиление 24-28 дБ</t>
  </si>
  <si>
    <t>УТ000021719</t>
  </si>
  <si>
    <t>Антенна комнатная, активная DVB-T и ДМВ+МВ Сигнал SAI 208, коэф. усиление 10-20 дБ</t>
  </si>
  <si>
    <t>УТ000035114</t>
  </si>
  <si>
    <t>Антенна комнатная, активная DVB-T и ДМВ+МВ Сигнал SAI 213, коэф. усиление 14-25 дБ</t>
  </si>
  <si>
    <t>УТ000021720</t>
  </si>
  <si>
    <t>Антенна комнатная, активная DVB-T и ДМВ+МВ Сигнал SAI 304, коэф. усиление 10-20 дБ</t>
  </si>
  <si>
    <t>УТ000021722</t>
  </si>
  <si>
    <t>Антенна комнатная, активная DVB-T и ДМВ+МВ Сигнал SAI 615, коэф. усиление 18-32 дБ</t>
  </si>
  <si>
    <t>УТ000055186</t>
  </si>
  <si>
    <t>Антенна комнатная, пасивная ДМВ и DVB-T Сигнал SPI-120</t>
  </si>
  <si>
    <t>УТ000055190</t>
  </si>
  <si>
    <t>Антенна Эфир SЕ-878 комнатная ДМВ+МВ, усы, активная</t>
  </si>
  <si>
    <t xml:space="preserve"> Антенны наружные</t>
  </si>
  <si>
    <t>УТ000057114</t>
  </si>
  <si>
    <t>Антенна наружная DVS STREET-20-5V активная</t>
  </si>
  <si>
    <t>УТ000057815</t>
  </si>
  <si>
    <t>Антенна наружная для цифрового тв, Eurosky ES-003  23дб активная</t>
  </si>
  <si>
    <t>УТ000057852</t>
  </si>
  <si>
    <t>Антенна наружная для цифрового тв, Альфа H111 A1 DVB-T 5В активная</t>
  </si>
  <si>
    <t>УТ000025066</t>
  </si>
  <si>
    <t>Антенна наружная ДМВ Зенит-14AF, L 011.44 D, активная, усиление 17-19 дБ, Locus</t>
  </si>
  <si>
    <t>УТ000021730</t>
  </si>
  <si>
    <t>Антенна наружная ДМВ Зенит-20AF, L 011.20D, активная, усиление 18-20 дБ, Locus</t>
  </si>
  <si>
    <t>УТ000038337</t>
  </si>
  <si>
    <t>Антенна наружная ДМВ Меридиан-12 AF Turbo, L 025.12 DT, активная, усиление 29-35 дБ, Locus</t>
  </si>
  <si>
    <t>УТ000034916</t>
  </si>
  <si>
    <t>Антенна наружная ДМВ Эфир-18 AF Turbo, L 035.18 DT, активная, усиление 27-30 дБ, Locus</t>
  </si>
  <si>
    <t>УТ000038282</t>
  </si>
  <si>
    <t>Антенна наружная ДМВ Эфир-18 F, L 031.18 D, пассивная,  усиление 7,5-13 дБ, Locus</t>
  </si>
  <si>
    <t xml:space="preserve"> Опоры, кронштейны антенные</t>
  </si>
  <si>
    <t>УТ000051432</t>
  </si>
  <si>
    <t>Кронштейн антенный 0,4 м</t>
  </si>
  <si>
    <t>УТ000044733</t>
  </si>
  <si>
    <t>Кронштейн антенный 300мм выносной</t>
  </si>
  <si>
    <t xml:space="preserve"> Антенные разветвители и сумматоры</t>
  </si>
  <si>
    <t>00401052316</t>
  </si>
  <si>
    <t>Сплиттер, делитель ТВ х 2 F-разьем 5-1000Мгц, CN-7071A</t>
  </si>
  <si>
    <t>00410052072</t>
  </si>
  <si>
    <t>Сплиттер, делитель ТВ х 2 F-разьем 5-2050 МГц CN-7071B</t>
  </si>
  <si>
    <t>УТ000015005</t>
  </si>
  <si>
    <t>Сплиттер, делитель ТВ х 2 F-разьем 5-2050МГц Сигнал</t>
  </si>
  <si>
    <t>00410049522</t>
  </si>
  <si>
    <t>Сплиттер, делитель ТВ х 2 F-разьем 5-900MHz CN-7067</t>
  </si>
  <si>
    <t>УТ000058417</t>
  </si>
  <si>
    <t>Сплиттер, делитель ТВ х 2 F-разьем ENERGY POWER</t>
  </si>
  <si>
    <t>00410053163</t>
  </si>
  <si>
    <t>Сплиттер, делитель ТВ х 3 F-разьем 5-1000Мгц CM-7072A</t>
  </si>
  <si>
    <t>УТ000058418</t>
  </si>
  <si>
    <t>Сплиттер, делитель ТВ х 3 F-разьем ENERGY POWER</t>
  </si>
  <si>
    <t>00410050302</t>
  </si>
  <si>
    <t>Сплиттер, делитель ТВ х 4 F-разьем 5-1000Мгц CN-7073A</t>
  </si>
  <si>
    <t>УТ000004157</t>
  </si>
  <si>
    <t>Сплиттер, делитель ТВ х 8 F-разьем 5-2050 МГц CN-7075B</t>
  </si>
  <si>
    <t xml:space="preserve"> Антенные удлинители</t>
  </si>
  <si>
    <t>УТ000039412</t>
  </si>
  <si>
    <t>Кабель антенный SmartBuy M-F (K-TV235-50) 5м</t>
  </si>
  <si>
    <t>УТ000039414</t>
  </si>
  <si>
    <t>Кабель антенный SmartBuy M-F угловой разъем (K-TV121) 1,8м</t>
  </si>
  <si>
    <t>УТ000039415</t>
  </si>
  <si>
    <t>Кабель антенный SmartBuy M-F угловой разъем (K-TV123) 3м</t>
  </si>
  <si>
    <t>УТ000039416</t>
  </si>
  <si>
    <t>Кабель антенный SmartBuy M-F угловой разъем (K-TV125) 5м</t>
  </si>
  <si>
    <t>УТ000039407</t>
  </si>
  <si>
    <t>Кабель антенный SmartBuy M-M прямой разъем (K-TV111) 1,8м</t>
  </si>
  <si>
    <t>УТ000039409</t>
  </si>
  <si>
    <t>Кабель антенный SmartBuy M-M угловой разъем (K-TV113) 3м</t>
  </si>
  <si>
    <t>УТ000039410</t>
  </si>
  <si>
    <t>Кабель антенный SmartBuy M-M угловой разъем (K-TV115) 5м</t>
  </si>
  <si>
    <t>00400047879</t>
  </si>
  <si>
    <t>Кабель высокочастотный антенный штекер - гнездо, 1,5м черный Джетт</t>
  </si>
  <si>
    <t xml:space="preserve"> Антенные штекеры, гнезда, разьемы</t>
  </si>
  <si>
    <t xml:space="preserve"> F- разъемы</t>
  </si>
  <si>
    <t>УТ000009014</t>
  </si>
  <si>
    <t>F- разъем RG-6</t>
  </si>
  <si>
    <t>УТ000056376</t>
  </si>
  <si>
    <t>F- разъем RG-6 F-18 белый, упаковка 100шт (EP)</t>
  </si>
  <si>
    <t>УТ000056377</t>
  </si>
  <si>
    <t>F- разъем RG-6 F-22 уплотнительное кольцо, черный, (100)</t>
  </si>
  <si>
    <t>УТ000029945</t>
  </si>
  <si>
    <t>F- разъем RG-6 Proconnect 05-4003-4</t>
  </si>
  <si>
    <t>УТ000045876</t>
  </si>
  <si>
    <t>F- разъем RG-6 Джетт (RG-6, 20мм, д.7/8.7мм) упаковка 50шт</t>
  </si>
  <si>
    <t>УТ000046120</t>
  </si>
  <si>
    <t>F- разъем RG-6 Джетт упаковка (50)</t>
  </si>
  <si>
    <t>УТ000006130</t>
  </si>
  <si>
    <t>Переходник гнездо F - 2 гнезда F, тройник</t>
  </si>
  <si>
    <t>УТ000052448</t>
  </si>
  <si>
    <t>Переходник гнездо F - 3 гнезда F, крест</t>
  </si>
  <si>
    <t>УТ000002283</t>
  </si>
  <si>
    <t>Переходник гнездо F - гнездо F, Бочка Джетт CN-7115B</t>
  </si>
  <si>
    <t>УТ000021051</t>
  </si>
  <si>
    <t>Переходник гнездо F - гнездо TV, антенное Джетт</t>
  </si>
  <si>
    <t>00410052063</t>
  </si>
  <si>
    <t>Переходник гнездо F - гнездо TV, антенное угловое</t>
  </si>
  <si>
    <t>00401052286</t>
  </si>
  <si>
    <t>Переходник гнездо F - штекер RCA CN-7119</t>
  </si>
  <si>
    <t>УТ000045823</t>
  </si>
  <si>
    <t>Переходник гнездо F - штекер TV, антенный</t>
  </si>
  <si>
    <t>00401052288</t>
  </si>
  <si>
    <t>Переходник гнездо F - штекер TV, антенный, угловой</t>
  </si>
  <si>
    <t>00401052292</t>
  </si>
  <si>
    <t>Переходник штекер F - гнездо TV, антенное</t>
  </si>
  <si>
    <t xml:space="preserve"> Антенные штекеры, гнезда</t>
  </si>
  <si>
    <t>УТ000051466</t>
  </si>
  <si>
    <t>Штекер антенный никель с пружиной, 03-151(N)</t>
  </si>
  <si>
    <t xml:space="preserve"> Усилители и блоки питания для антенн</t>
  </si>
  <si>
    <t>УТ000027939</t>
  </si>
  <si>
    <t>Блок питания антенны 12V, 1A без регулятора</t>
  </si>
  <si>
    <t>УТ000058640</t>
  </si>
  <si>
    <t>УТ000049875</t>
  </si>
  <si>
    <t>Блок питания антенный 12V 0.1A (штекер TV) с F-разъемом</t>
  </si>
  <si>
    <t>УТ000027938</t>
  </si>
  <si>
    <t>Блок питания антенный 12V 0.1A (штекер TV) с регулятором</t>
  </si>
  <si>
    <t>УТ000055826</t>
  </si>
  <si>
    <t>Инжектор питания USB для активных антенн ANT01</t>
  </si>
  <si>
    <t>УТ000055827</t>
  </si>
  <si>
    <t>Инжектор питания USB для активных антенн, индикатор питания, антенный провод 200мм, ANT02</t>
  </si>
  <si>
    <t>УТ000056401</t>
  </si>
  <si>
    <t>Инжектор питания USB для активных антенн, индикатор питания, антенный провод 500мм</t>
  </si>
  <si>
    <t>00400048544</t>
  </si>
  <si>
    <t>Усилитель антенный SWA-555 усиление 28-34Дб, шумы 2.2Дб, 50-100км</t>
  </si>
  <si>
    <t>УТ000045212</t>
  </si>
  <si>
    <t>Усилитель антенный SWA-5555</t>
  </si>
  <si>
    <t>00400048545</t>
  </si>
  <si>
    <t>Усилитель антенный SWA-777 усиление 37Дб, шумы 1,7Дб, 70-130км</t>
  </si>
  <si>
    <t>УТ000007964</t>
  </si>
  <si>
    <t>Усилитель антенный SWA-9000</t>
  </si>
  <si>
    <t xml:space="preserve"> Телевизионные цифровые приставки DVB-T2</t>
  </si>
  <si>
    <t>УТ000029562</t>
  </si>
  <si>
    <t>Приставка для цифрового ТВ, ресивер DVB-T2 OPENBOX DVB-009 (Wi-Fi)</t>
  </si>
  <si>
    <t>УТ000031753</t>
  </si>
  <si>
    <t>Приставка для цифрового ТВ, ресивер DVB-T2 SUPER BEKO T8000 (Wi-Fi)</t>
  </si>
  <si>
    <t>УТ000048958</t>
  </si>
  <si>
    <t>Приставка для цифрового ТВ, ресивер DVB-T2 Интерактив T100</t>
  </si>
  <si>
    <t>УТ000056510</t>
  </si>
  <si>
    <t>Приставка для цифрового ТВ, ресивер Орбита HD-999C</t>
  </si>
  <si>
    <t>УТ000006529</t>
  </si>
  <si>
    <t>Приставка для цифрового ТВ, ресивер Орбита HD999 (16:9, DVB-T2/Т, HDMI, USB 2.0, MPEG-1/2/4, VC-1, H.264, телетекст, субтитры, HD плеер 1080i /20)</t>
  </si>
  <si>
    <t xml:space="preserve"> Бытовая техника, товары для дома</t>
  </si>
  <si>
    <t xml:space="preserve"> Для бритья, стрижки, укладки</t>
  </si>
  <si>
    <t xml:space="preserve"> Маникюр</t>
  </si>
  <si>
    <t>УТ000058032</t>
  </si>
  <si>
    <t>Маникюрный набор MRD-0157 (15 предметов, кожаный футляр) Москвич</t>
  </si>
  <si>
    <t>УТ000058033</t>
  </si>
  <si>
    <t>Маникюрный набор MRD-0159 (15 предметов, кожаный футляр) Москвич</t>
  </si>
  <si>
    <t>УТ000046445</t>
  </si>
  <si>
    <t>Маникюрный набор ZY-881 (8 предметов, кожаный футляр) Москвич</t>
  </si>
  <si>
    <t>УТ000046446</t>
  </si>
  <si>
    <t>Маникюрный набор ZY-882 (15 предметов, кожаный футляр)</t>
  </si>
  <si>
    <t>УТ000046448</t>
  </si>
  <si>
    <t>Маникюрный набор ZY-884 (12 предметов, кожаный футляр)</t>
  </si>
  <si>
    <t>УТ000046450</t>
  </si>
  <si>
    <t>Маникюрный набор ZY-887 (7 предметов, кожаный футляр) Москвич</t>
  </si>
  <si>
    <t>УТ000046451</t>
  </si>
  <si>
    <t>Маникюрный набор ZY-888 (10 предметов, кожаный футляр) Москвич</t>
  </si>
  <si>
    <t>УТ000045976</t>
  </si>
  <si>
    <t>Щипчики-книпсер для ногтей AD-602 (упак. 3шт.)</t>
  </si>
  <si>
    <t xml:space="preserve"> Машинки для стрижки волос</t>
  </si>
  <si>
    <t>УТ000048586</t>
  </si>
  <si>
    <t>Машинка для стрижки волос Geemy GM-6028</t>
  </si>
  <si>
    <t>УТ000054879</t>
  </si>
  <si>
    <t>Машинка для стрижки волос Geemy GM-6113</t>
  </si>
  <si>
    <t>УТ000050650</t>
  </si>
  <si>
    <t>Машинка для стрижки волос NS-216</t>
  </si>
  <si>
    <t>УТ000037231</t>
  </si>
  <si>
    <t>Машинка для стрижки волос VGR V-030</t>
  </si>
  <si>
    <t>УТ000059175</t>
  </si>
  <si>
    <t>Машинка для стрижки волос VGR V-070</t>
  </si>
  <si>
    <t>УТ000048647</t>
  </si>
  <si>
    <t>Машинка для стрижки волос VGR V-071</t>
  </si>
  <si>
    <t>УТ000059189</t>
  </si>
  <si>
    <t>Машинка для стрижки волос VGR V-965</t>
  </si>
  <si>
    <t>УТ000056936</t>
  </si>
  <si>
    <t>Машинка для стрижки волос VGR V-982</t>
  </si>
  <si>
    <t>УТ000058224</t>
  </si>
  <si>
    <t>Машинка для стрижки-триммер Geemy GM-573 3в1</t>
  </si>
  <si>
    <t>УТ000054901</t>
  </si>
  <si>
    <t>Машинка для стрижки-триммер Geemy GM-683</t>
  </si>
  <si>
    <t>УТ000037213</t>
  </si>
  <si>
    <t>Триммер Geemy GM-3105</t>
  </si>
  <si>
    <t>УТ000043336</t>
  </si>
  <si>
    <t>Триммер Geemy GM-769</t>
  </si>
  <si>
    <t>УТ000043337</t>
  </si>
  <si>
    <t>Триммер-бритва 4в1Geemy GM-3116</t>
  </si>
  <si>
    <t xml:space="preserve"> Укладка волос</t>
  </si>
  <si>
    <t xml:space="preserve"> Фены</t>
  </si>
  <si>
    <t>УТ000053817</t>
  </si>
  <si>
    <t>Фен Fa Kang FK-9900</t>
  </si>
  <si>
    <t>УТ000041591</t>
  </si>
  <si>
    <t>Фен Moser 9939</t>
  </si>
  <si>
    <t xml:space="preserve"> Щипцы для выпрямления волос, утюжки</t>
  </si>
  <si>
    <t>УТ000049655</t>
  </si>
  <si>
    <t>Щипцы-гофре Afkas-Nova G671</t>
  </si>
  <si>
    <t>УТ000050433</t>
  </si>
  <si>
    <t>Щипцы-гофре Sonar SN-8091</t>
  </si>
  <si>
    <t>УТ000057284</t>
  </si>
  <si>
    <t>Щипцы-гофре для волос MRM-381</t>
  </si>
  <si>
    <t xml:space="preserve"> Щипцы для завивки волос, плойки</t>
  </si>
  <si>
    <t>УТ000041596</t>
  </si>
  <si>
    <t>Плойка Curling Wand ST-2218</t>
  </si>
  <si>
    <t>УТ000051376</t>
  </si>
  <si>
    <t>Плойка Promozer MZ-6630</t>
  </si>
  <si>
    <t>УТ000050432</t>
  </si>
  <si>
    <t>Щипцы-гофре Afkas-Nova 3393</t>
  </si>
  <si>
    <t xml:space="preserve"> Электробритвы</t>
  </si>
  <si>
    <t>УТ000059186</t>
  </si>
  <si>
    <t>Электробритва  VGR V-319</t>
  </si>
  <si>
    <t>УТ000058427</t>
  </si>
  <si>
    <t>Электробритва  VGR V-341</t>
  </si>
  <si>
    <t>УТ000059187</t>
  </si>
  <si>
    <t>Электробритва  VGR V-370</t>
  </si>
  <si>
    <t>УТ000059188</t>
  </si>
  <si>
    <t>Электробритва  VGR V-389</t>
  </si>
  <si>
    <t>УТ000015693</t>
  </si>
  <si>
    <t>Электробритва Chaobo RSCW-9200</t>
  </si>
  <si>
    <t>УТ000047594</t>
  </si>
  <si>
    <t>Электробритва Gemei GM-7720</t>
  </si>
  <si>
    <t>УТ000050854</t>
  </si>
  <si>
    <t>Электробритва Shinon SH-7098</t>
  </si>
  <si>
    <t>УТ000053818</t>
  </si>
  <si>
    <t>Электробритва Surker SK-3007</t>
  </si>
  <si>
    <t>УТ000034261</t>
  </si>
  <si>
    <t>Электробритва Авитрон 202А аккумуляторная, для сухого бритья</t>
  </si>
  <si>
    <t>УТ000028453</t>
  </si>
  <si>
    <t>Электробритва Агидель 16АС аккумуляторно-сетевая, для сухого бритья</t>
  </si>
  <si>
    <t>УТ000030093</t>
  </si>
  <si>
    <t>Электробритва Агидель 17АС аккумуляторно-сетевая, для сухого бритья</t>
  </si>
  <si>
    <t>УТ000055796</t>
  </si>
  <si>
    <t>Электробритва Агидель 19АС аккумуляторно-сетевая</t>
  </si>
  <si>
    <t>УТ000027768</t>
  </si>
  <si>
    <t>Электробритва Агидель 21 сетевая, для сухого бритья</t>
  </si>
  <si>
    <t>УТ000030095</t>
  </si>
  <si>
    <t>Электробритва Агидель 22А (аккумуляторная)</t>
  </si>
  <si>
    <t>УТ000027769</t>
  </si>
  <si>
    <t>Электробритва Агидель 3С сетевая, для сухого бритья</t>
  </si>
  <si>
    <t>УТ000034185</t>
  </si>
  <si>
    <t>Электробритва Агидель-318С сетевая, для сухого бритья</t>
  </si>
  <si>
    <t xml:space="preserve"> Климатическиая техника</t>
  </si>
  <si>
    <t xml:space="preserve"> Вентиляторы</t>
  </si>
  <si>
    <t>УТ000018409</t>
  </si>
  <si>
    <t>Вентилятор напольный Energy EN-1659 (40Вт,D=40см,3 скорости, высота125 см) белый</t>
  </si>
  <si>
    <t>УТ000018411</t>
  </si>
  <si>
    <t>Вентилятор настольный Energy EN-0602 (15Вт,D=15см,2 скорости, на прищепке)</t>
  </si>
  <si>
    <t xml:space="preserve"> Обогреватели</t>
  </si>
  <si>
    <t>УТ000056523</t>
  </si>
  <si>
    <t>Обогреватель конвекторного типа РЭМО СБ-1000.1 "Зебра", сделано в России</t>
  </si>
  <si>
    <t>УТ000056518</t>
  </si>
  <si>
    <t>Обогреватель конвекторного типа РЭМО СБ-1000.1 W, сделано в России</t>
  </si>
  <si>
    <t>УТ000056526</t>
  </si>
  <si>
    <t>Обогреватель конвекторного типа РЭМО СБ-1500.2 "Такса", жёлтый, сделано в России</t>
  </si>
  <si>
    <t>УТ000056525</t>
  </si>
  <si>
    <t>Обогреватель конвекторного типа РЭМО СБ-1500.2 "Такса", синий, сделано в России</t>
  </si>
  <si>
    <t>УТ000056530</t>
  </si>
  <si>
    <t>Обогреватель конвекторного типа РЭМО СБ-1500.2 B, сделано в России</t>
  </si>
  <si>
    <t>УТ000056529</t>
  </si>
  <si>
    <t>Обогреватель конвекторного типа РЭМО СБ-1500.2 W, сделано в России</t>
  </si>
  <si>
    <t>УТ000056527</t>
  </si>
  <si>
    <t>Обогреватель электрический конвекторного типа РЭМО СБ-2000.2 "Такса", розовый</t>
  </si>
  <si>
    <t>УТ000056519</t>
  </si>
  <si>
    <t>Обогреватель электрический конвекторного типа РЭМО СБ-2000.2 B</t>
  </si>
  <si>
    <t>УТ000056520</t>
  </si>
  <si>
    <t>Обогреватель электрический конвекторного типа РЭМО СБ-2000.2 W</t>
  </si>
  <si>
    <t>УТ000058191</t>
  </si>
  <si>
    <t>Портативный тепловентилятор DREAM SC151 (500Вт, настенный, пульт, таймер, 2 скорости)</t>
  </si>
  <si>
    <t>УТ000007681</t>
  </si>
  <si>
    <t>Тепловентилятор Engy EN-514 2000 Вт, спираль, 3 режима</t>
  </si>
  <si>
    <t>УТ000052238</t>
  </si>
  <si>
    <t>Тепловентилятор Engy EN-521 2000 Вт, спираль, 2 режима серый</t>
  </si>
  <si>
    <t xml:space="preserve"> Сушилки для обуви</t>
  </si>
  <si>
    <t>УТ000033774</t>
  </si>
  <si>
    <t>Сушилка для обуви металлическая LEBEN (12Вт)</t>
  </si>
  <si>
    <t>УТ000035993</t>
  </si>
  <si>
    <t>Сушилка для обуви электрическая Engy RJ-45B(пластик) микс 12Вт 151555</t>
  </si>
  <si>
    <t>УТ000029299</t>
  </si>
  <si>
    <t>Сушилка для обуви электрическая Engy RJ-50C красная 12Вт 640414</t>
  </si>
  <si>
    <t>УТ000058900</t>
  </si>
  <si>
    <t>Сушилка для обуви электрическая Engy RJ-55C 12Вт</t>
  </si>
  <si>
    <t>УТ000058902</t>
  </si>
  <si>
    <t>Сушилка для обуви электрическая HOMESTAR HS- 9030 12Вт</t>
  </si>
  <si>
    <t xml:space="preserve"> Термометры, метеостанции</t>
  </si>
  <si>
    <t xml:space="preserve"> Термометры жидкостные, стрелочные</t>
  </si>
  <si>
    <t>УТ000052668</t>
  </si>
  <si>
    <t>Термометр банный CH-1 "Банный веник" 17,5*6*0,6см</t>
  </si>
  <si>
    <t>УТ000053768</t>
  </si>
  <si>
    <t>Термометр банный CH-2 "Sauna" 21,5*4,7*0,5см</t>
  </si>
  <si>
    <t>УТ000052669</t>
  </si>
  <si>
    <t>Термометр банный CH-3 "Банька" деревянный 28,5*6,2*1см</t>
  </si>
  <si>
    <t>УТ000046714</t>
  </si>
  <si>
    <t>Термометр биметаллический Garin TB-1</t>
  </si>
  <si>
    <t>УТ000046715</t>
  </si>
  <si>
    <t>Термометр биметаллический Garin TB-2</t>
  </si>
  <si>
    <t>УТ000057269</t>
  </si>
  <si>
    <t>Термометр Гигрометр CH008 (22,5*6,5*1,6см)(Китай)</t>
  </si>
  <si>
    <t>УТ000057268</t>
  </si>
  <si>
    <t>Термометр Гигрометр стрелочный TH101 металлический (120*120*30) (Китай</t>
  </si>
  <si>
    <t>УТ000057266</t>
  </si>
  <si>
    <t>Термометр комнатный CH075-1 деревянный (23,2*4,6*1см)(Китай)</t>
  </si>
  <si>
    <t>УТ000057267</t>
  </si>
  <si>
    <t>Термометр комнатный CH092-1 деревянный (23,2*4,6*1см)(Китай)</t>
  </si>
  <si>
    <t>УТ000052552</t>
  </si>
  <si>
    <t>Термометр оконный CH-197A (5.6*5.8*1.9)</t>
  </si>
  <si>
    <t>УТ000041586</t>
  </si>
  <si>
    <t>Термометр оконный CH-207, биметаллический квадратный на липучках  (7,5*7,5*2,3см)</t>
  </si>
  <si>
    <t>УТ000053767</t>
  </si>
  <si>
    <t>Термометр оконный CH3000 на липучке, (20x4x2см)</t>
  </si>
  <si>
    <t>УТ000053765</t>
  </si>
  <si>
    <t>Термометр оконный CH3004 на липучке, (20,5x3x1,7см)</t>
  </si>
  <si>
    <t>УТ000051588</t>
  </si>
  <si>
    <t>Термометр оконный CH3009, "Стандарт" (-50 +50) на липучке (20.5*3*1.7см)</t>
  </si>
  <si>
    <t>УТ000057270</t>
  </si>
  <si>
    <t>Термометр оконный CY128 восьмиугольный (7,5*7,5*1,5см)(Китай)</t>
  </si>
  <si>
    <t>УТ000057271</t>
  </si>
  <si>
    <t>Термометр оконный CY129 восьмиугольный на липучке (7,5*7,5*1,5см)(Китай)(</t>
  </si>
  <si>
    <t>УТ000054896</t>
  </si>
  <si>
    <t>Термометр оконный на липучке CH-090-1</t>
  </si>
  <si>
    <t>УТ000052551</t>
  </si>
  <si>
    <t>Термометр оконный, на крючке, биметаллический, круглый CY-22 (7*5*0.7)</t>
  </si>
  <si>
    <t xml:space="preserve"> Термометры, метеостанции электронные</t>
  </si>
  <si>
    <t>УТ000054012</t>
  </si>
  <si>
    <t>Метеостанция для дома, термометр, гигрометр, часы (-20/+60C)</t>
  </si>
  <si>
    <t>УТ000031805</t>
  </si>
  <si>
    <t>Термометр цифровой OT-HOM18 (TA338) (дом/улица)</t>
  </si>
  <si>
    <t>УТ000018777</t>
  </si>
  <si>
    <t>Термометр электронный HT-01 (TPM-10), выносной датчик, длина провода 1м</t>
  </si>
  <si>
    <t>УТ000028240</t>
  </si>
  <si>
    <t>Термометр электронный HT-01 black 1m(-50/+110°C±1°C 48x28x15mm)</t>
  </si>
  <si>
    <t>УТ000028245</t>
  </si>
  <si>
    <t>Термометр электронный HT-01 white, длина провода 1м (-50/+110°C±1°C 48x28x15mm)</t>
  </si>
  <si>
    <t>УТ000030562</t>
  </si>
  <si>
    <t>Термометр электронный для аквариумов OT-HOM09</t>
  </si>
  <si>
    <t>УТ000054011</t>
  </si>
  <si>
    <t>Термометр электронный для холодильника, подвес на крючок (-20/+60°C) черный</t>
  </si>
  <si>
    <t>УТ000035127</t>
  </si>
  <si>
    <t>Термометр-гигрометр Garin (точное измерение) TH-1</t>
  </si>
  <si>
    <t>УТ000021834</t>
  </si>
  <si>
    <t>Термометр-гигрометр OT-HOM12 (HTC-2) (часы, будильник, выносной датчик)</t>
  </si>
  <si>
    <t>УТ000058656</t>
  </si>
  <si>
    <t>Термометр-гигрометр OT-HOM28 термометр-щуп цифровой</t>
  </si>
  <si>
    <t>УТ000035534</t>
  </si>
  <si>
    <t>Термометр-гигрометр электронный OT-HOM17 TA328</t>
  </si>
  <si>
    <t>УТ000046713</t>
  </si>
  <si>
    <t>Термометр-щуп цифровой Garin FT-01</t>
  </si>
  <si>
    <t>УТ000057930</t>
  </si>
  <si>
    <t>Часы-метеостанция Perfeo PF-E0828 "Izel"</t>
  </si>
  <si>
    <t>УТ000035422</t>
  </si>
  <si>
    <t>Электронный термометр-гигрометр комнатный\уличный TA318</t>
  </si>
  <si>
    <t>УТ000021018</t>
  </si>
  <si>
    <t>Электронный термометр-гигрометр уличный 298TA с выносным датчиком</t>
  </si>
  <si>
    <t xml:space="preserve"> Увлажнители воздуха</t>
  </si>
  <si>
    <t>УТ000049843</t>
  </si>
  <si>
    <t>Фильтр для увлажнителя воздуха (5шт)</t>
  </si>
  <si>
    <t xml:space="preserve"> Техника для дома</t>
  </si>
  <si>
    <t xml:space="preserve"> Весы электронные, безмены</t>
  </si>
  <si>
    <t xml:space="preserve"> Безмены</t>
  </si>
  <si>
    <t>УТ000054728</t>
  </si>
  <si>
    <t>Безмен электронный Electronic Luggage Scale 50 kg для багажа</t>
  </si>
  <si>
    <t>УТ000054706</t>
  </si>
  <si>
    <t>Безмен электронный Electronic Luggage Scale с ремешком 50 kg для багажа</t>
  </si>
  <si>
    <t>УТ000046710</t>
  </si>
  <si>
    <t>Безмен электронный Garin DS2</t>
  </si>
  <si>
    <t>УТ000046711</t>
  </si>
  <si>
    <t>Безмен электронный Garin DS3</t>
  </si>
  <si>
    <t>УТ000046709</t>
  </si>
  <si>
    <t>Безмен электронный Garin Точный вес DS1 BL1</t>
  </si>
  <si>
    <t>УТ000040200</t>
  </si>
  <si>
    <t>Безмен электронный Spark Lux SL-H908, max. 50кг</t>
  </si>
  <si>
    <t>УТ000043769</t>
  </si>
  <si>
    <t>Безмен электронный WH-A08</t>
  </si>
  <si>
    <t>УТ000045606</t>
  </si>
  <si>
    <t>Безмен электронный X-Pert XPR-603</t>
  </si>
  <si>
    <t>УТ000057434</t>
  </si>
  <si>
    <t>Безмен электронный X-Pert №602</t>
  </si>
  <si>
    <t xml:space="preserve"> Весы кухонные</t>
  </si>
  <si>
    <t>УТ000044575</t>
  </si>
  <si>
    <t>Весы кухонные Dream SF-400 (1-10кг) белый</t>
  </si>
  <si>
    <t>УТ000043133</t>
  </si>
  <si>
    <t>Весы кухонные настольные OT-HOW08 5кг точность 0,1гр</t>
  </si>
  <si>
    <t>УТ000050867</t>
  </si>
  <si>
    <t>Весы кухонные электронные Ergolux ELX-SK01-C36 Паста/томаты, до 5 кг,15*15см, ЖК дисплей, 1х CR2032 1865</t>
  </si>
  <si>
    <t>УТ000054796</t>
  </si>
  <si>
    <t>Весы кухонные электронные ERGOLUX ELX-SK02-С01 белые, фрукты,  до 5 кг</t>
  </si>
  <si>
    <t>УТ000054797</t>
  </si>
  <si>
    <t>Весы кухонные электронные ERGOLUX ELX-SK02-С02 черные, специи  до 5 кг</t>
  </si>
  <si>
    <t>УТ000053524</t>
  </si>
  <si>
    <t>Весы кухонные электронные ERGOLUX ELX-SK02-С03 серые  до 5 кг, 195*142 мм</t>
  </si>
  <si>
    <t>УТ000059301</t>
  </si>
  <si>
    <t>Весы кухонные электронные ERGOLUX ELX-SK04-C03 серые  до 5 кг со съемной чашей</t>
  </si>
  <si>
    <t xml:space="preserve"> Весы напольные</t>
  </si>
  <si>
    <t>УТ000053747</t>
  </si>
  <si>
    <t>Весы напольные ERGOLUX ELX-SB02-C03 до 180 кг серые</t>
  </si>
  <si>
    <t>УТ000053748</t>
  </si>
  <si>
    <t>Весы напольные ERGOLUX ELX-SB02-C08 до 180 кг город</t>
  </si>
  <si>
    <t>УТ000053749</t>
  </si>
  <si>
    <t>Весы напольные ERGOLUX ELX-SB03-C45 до 180 кг абстракция синяя</t>
  </si>
  <si>
    <t>УТ000059148</t>
  </si>
  <si>
    <t>Весы напольные электронные, прозрачные, квадратные, 180кг, 2003В</t>
  </si>
  <si>
    <t>УТ000059149</t>
  </si>
  <si>
    <t>Весы напольные электронные, прозрачные, квадратные, 180кг, 2005D</t>
  </si>
  <si>
    <t>УТ000059147</t>
  </si>
  <si>
    <t>Весы напольные электронные, прозрачные, круглые, 180кг, 2003А</t>
  </si>
  <si>
    <t>УТ000059150</t>
  </si>
  <si>
    <t>Весы напольные электронные, с рисунком, квадратные, 180кг, 2015K</t>
  </si>
  <si>
    <t xml:space="preserve"> Весы портативные</t>
  </si>
  <si>
    <t>УТ000044574</t>
  </si>
  <si>
    <t>Весы портативные эл. Dream W1 200гр точность 0,01гр</t>
  </si>
  <si>
    <t>УТ000043124</t>
  </si>
  <si>
    <t>Весы портативные эл. OT-HOW04 100гр точность 0,01гр</t>
  </si>
  <si>
    <t>УТ000043125</t>
  </si>
  <si>
    <t>Весы портативные эл. OT-HOW04 300гр точность 0,01гр</t>
  </si>
  <si>
    <t>УТ000043126</t>
  </si>
  <si>
    <t>Весы портативные эл. OT-HOW04 500гр точность 0,01гр</t>
  </si>
  <si>
    <t>УТ000041345</t>
  </si>
  <si>
    <t>Весы портативные эл. OT-HOW06 100гр точность 0,01гр</t>
  </si>
  <si>
    <t>УТ000043131</t>
  </si>
  <si>
    <t>Весы портативные эл. OT-HOW06 500гр точность 0,01гр</t>
  </si>
  <si>
    <t xml:space="preserve"> Дверные звонки и домофоны</t>
  </si>
  <si>
    <t>УТ000049545</t>
  </si>
  <si>
    <t>Выключатель звонковый (кнопка) 250В А1-0,4-001</t>
  </si>
  <si>
    <t>УТ000058661</t>
  </si>
  <si>
    <t>Звонок беспроводной GARIN DoorBell DB1K220 черный BL1</t>
  </si>
  <si>
    <t>УТ000058659</t>
  </si>
  <si>
    <t>Звонок беспроводной GARIN DoorBell DB1KBAT черный BL1</t>
  </si>
  <si>
    <t>УТ000058662</t>
  </si>
  <si>
    <t>Звонок беспроводной GARIN DoorBell DB1W220 белый BL1</t>
  </si>
  <si>
    <t>УТ000058660</t>
  </si>
  <si>
    <t>Звонок беспроводной GARIN DoorBell DB1WBAT белый BL1</t>
  </si>
  <si>
    <t>УТ000050017</t>
  </si>
  <si>
    <t>Звонок беспроводной Garin DoorBell Ella с влагозащитной кнопкой, 1*23А 12В кнопка, 2*АА 1,5В динамик</t>
  </si>
  <si>
    <t>УТ000050019</t>
  </si>
  <si>
    <t>Звонок беспроводной Garin DoorBell Rio ночник, влагозащитная кнопка, 1*23А 12В кнопка, 220В динамик</t>
  </si>
  <si>
    <t>УТ000058896</t>
  </si>
  <si>
    <t>Звонок беспроводной Джетт 602 (100м), двухтональный, 2*АА</t>
  </si>
  <si>
    <t>УТ000058898</t>
  </si>
  <si>
    <t>Звонок беспроводной Джетт 624 (120м), 36 мелодий, 2*АА</t>
  </si>
  <si>
    <t>УТ000038306</t>
  </si>
  <si>
    <t>Звонок беспроводной с выносным датчиком движения Rexant GS-215, 493940</t>
  </si>
  <si>
    <t>УТ000015982</t>
  </si>
  <si>
    <t>Звонок электрический "Птичка" без кнопки 220В  SQ1901-0106 ( код кнопки 1531)</t>
  </si>
  <si>
    <t>УТ000034753</t>
  </si>
  <si>
    <t>Трубка домофона с индикатором Rexant 45-0347</t>
  </si>
  <si>
    <t>УТ000034911</t>
  </si>
  <si>
    <t>Трубка домофона с индикатором REXANT Premium 45-0346</t>
  </si>
  <si>
    <t>УТ000056419</t>
  </si>
  <si>
    <t>Трубка домофона с индикатором и регулировкой громкости Rexant RX-322 желтая</t>
  </si>
  <si>
    <t>УТ000002277</t>
  </si>
  <si>
    <t>Эл.звонок ДЖЕТТ 232 (беспроводной дистанц (120м), 220В, 38 мелодий, 2 звонка) V003A2</t>
  </si>
  <si>
    <t xml:space="preserve"> Замки</t>
  </si>
  <si>
    <t xml:space="preserve"> Замки навесные</t>
  </si>
  <si>
    <t>УТ000055432</t>
  </si>
  <si>
    <t>Замок навесной 20мм Smartbuy дужка d3мм, 3 ключа (SBT-LK-2003)</t>
  </si>
  <si>
    <t>УТ000044638</t>
  </si>
  <si>
    <t>Замок навесной Extra, 40мм, 3 ключа</t>
  </si>
  <si>
    <t>УТ000058199</t>
  </si>
  <si>
    <t>Замок навесной, почтовый 25мм (цена за 1шт) BL-12</t>
  </si>
  <si>
    <t xml:space="preserve"> Калькуляторы</t>
  </si>
  <si>
    <t>00410050507</t>
  </si>
  <si>
    <t>Калькулятор 837 II (12 разр.) настольный</t>
  </si>
  <si>
    <t>УТ000004720</t>
  </si>
  <si>
    <t>Калькулятор Kenko 3180-12 (12 разр.) настольный</t>
  </si>
  <si>
    <t>УТ000039730</t>
  </si>
  <si>
    <t>Калькулятор Perfeo A4027 12-разрядный GT</t>
  </si>
  <si>
    <t>УТ000046722</t>
  </si>
  <si>
    <t>Калькулятор Perfeo A4855 12-разрядный</t>
  </si>
  <si>
    <t>УТ000057371</t>
  </si>
  <si>
    <t>Калькулятор Perfeo PF_B4852, бухгалтерский, 12-разр., черный</t>
  </si>
  <si>
    <t xml:space="preserve"> Нассосы</t>
  </si>
  <si>
    <t>УТ000016914</t>
  </si>
  <si>
    <t>Электронасос погружной РУЧЕЕК-1 (220В, 225Вт, шнур 10м) Р.Белорусь 12221</t>
  </si>
  <si>
    <t>УТ000016915</t>
  </si>
  <si>
    <t>Электронасос погружной РУЧЕЕК-1 (220В, 225Вт, шнур 15м) Р.Белорусь 031215</t>
  </si>
  <si>
    <t>УТ000016916</t>
  </si>
  <si>
    <t>Электронасос погружной РУЧЕЕК-1М (220В, 225Вт, шнур 10м) Р.Белорусь 021619</t>
  </si>
  <si>
    <t>УТ000016917</t>
  </si>
  <si>
    <t>Электронасос погружной РУЧЕЕК-1М (220В, 225Вт, шнур 15м) Р.Белорусь 032037</t>
  </si>
  <si>
    <t xml:space="preserve"> Часы</t>
  </si>
  <si>
    <t xml:space="preserve"> Таймеры</t>
  </si>
  <si>
    <t>УТ000049492</t>
  </si>
  <si>
    <t>Таймер (секундомер) OT-HOM21 белый</t>
  </si>
  <si>
    <t>УТ000049493</t>
  </si>
  <si>
    <t>Таймер (секундомер) OT-HOM21 серебро</t>
  </si>
  <si>
    <t>УТ000049494</t>
  </si>
  <si>
    <t>Таймер (секундомер) OT-HOM21 черный</t>
  </si>
  <si>
    <t>УТ000049495</t>
  </si>
  <si>
    <t>Таймер (секундомер) OT-HOM22 белый</t>
  </si>
  <si>
    <t>УТ000054794</t>
  </si>
  <si>
    <t>Таймер GARIN KT-02 электронный</t>
  </si>
  <si>
    <t>УТ000054795</t>
  </si>
  <si>
    <t>Таймер GARIN KT-03 механический</t>
  </si>
  <si>
    <t>УТ000030749</t>
  </si>
  <si>
    <t>Таймер кухонный (секундомер) прищепка, магнит</t>
  </si>
  <si>
    <t xml:space="preserve"> Часы наручные</t>
  </si>
  <si>
    <t>УТ000012966</t>
  </si>
  <si>
    <t>Часы наручные женские пятнистый ремешок циферблат с блестящей крошкой, микс 1227396 (СОИ`)</t>
  </si>
  <si>
    <t>УТ000002528</t>
  </si>
  <si>
    <t>Часы наручные-браслет детские, силиконовый ремешок (цвета в ассор.) (``)</t>
  </si>
  <si>
    <t>УТ000002576</t>
  </si>
  <si>
    <t>Часы электронные в спортивном стиле силиконовый браслет ( цвета в ассорт.) (``)</t>
  </si>
  <si>
    <t>УТ000011221</t>
  </si>
  <si>
    <t>Часы электронные наручные детские с силик/ремешком, циферблат круглый с рисунками, бело-желтые (``)</t>
  </si>
  <si>
    <t>УТ000011220</t>
  </si>
  <si>
    <t>Часы электронные наручные детские с силик/ремешком, циферблат круглый с рисунками, бело-розовые (``)</t>
  </si>
  <si>
    <t>УТ000011217</t>
  </si>
  <si>
    <t>Часы электронные наручные детские с силик/ремешком, циферблат круглый с рисунками, бело-салатовые (``)</t>
  </si>
  <si>
    <t>УТ000011222</t>
  </si>
  <si>
    <t>Часы электронные наручные детские с силик/ремешком, циферблат круглый с рисунками, бело-синие (``)</t>
  </si>
  <si>
    <t>УТ000008209</t>
  </si>
  <si>
    <t>Часы электронные наручные детские с силиконовым прозрачным браслетом (839186)</t>
  </si>
  <si>
    <t>УТ000008232</t>
  </si>
  <si>
    <t>Часы электронные наручные женские с силик/браслетом,спортивные,(839211) (СИ`)</t>
  </si>
  <si>
    <t>УТ000008585</t>
  </si>
  <si>
    <t>Часы электронные наручные женские с силик/ремешком, циферблат круглый белый ободок, красные 839091 (СИ`)</t>
  </si>
  <si>
    <t>УТ000008586</t>
  </si>
  <si>
    <t>Часы электронные наручные женские с силик/ремешком, циферблат круглый белый ободок, розовые 839093 (СИ`)</t>
  </si>
  <si>
    <t>УТ000008588</t>
  </si>
  <si>
    <t>Часы электронные наручные женские с силик/ремешком, циферблат круглый черный, салатовые 839106 (СИ`)</t>
  </si>
  <si>
    <t>УТ000008227</t>
  </si>
  <si>
    <t>Часы электронные наручные женские с силик/ремешком,будильник,секундомер,дата (839118) (СИ`)</t>
  </si>
  <si>
    <t xml:space="preserve"> Часы настенные стрелочные</t>
  </si>
  <si>
    <t>УТ000057924</t>
  </si>
  <si>
    <t>Часы настенные Perfeo PF-WC-001(С1), круглые д 20 см, чёрный корпус/белый циферблат</t>
  </si>
  <si>
    <t>УТ000057925</t>
  </si>
  <si>
    <t>Часы настенные Perfeo PF-WC-001(С1), круглые д 20 см, чёрный корпус/чёрный циферблат</t>
  </si>
  <si>
    <t>УТ000057928</t>
  </si>
  <si>
    <t>Часы настенные Perfeo PF-WC-002(С2), круглые д. 25см, чёрный корпус/чёрный циферблат</t>
  </si>
  <si>
    <t>УТ000059118</t>
  </si>
  <si>
    <t>Часы настенные Perfeo PF-WC-012, круглые д. 30см, золотой корпус/белый циферблат</t>
  </si>
  <si>
    <t>УТ000059119</t>
  </si>
  <si>
    <t>Часы настенные Perfeo PF-WC-021, круглые д. 36см, серебряный корпус/белый циферблат</t>
  </si>
  <si>
    <t>УТ000057362</t>
  </si>
  <si>
    <t>Часы-будильник Perfeo Quartz PF-TC-009, круглые диам. 15,3 см, подвес на стену, звезда</t>
  </si>
  <si>
    <t>УТ000057363</t>
  </si>
  <si>
    <t>Часы-будильник Perfeo Quartz PF-TC-009, круглые диам. 15,3 см, подвес на стену, маяк</t>
  </si>
  <si>
    <t>УТ000057364</t>
  </si>
  <si>
    <t>Часы-будильник Perfeo Quartz PF-TC-009, круглые диам. 15,3 см, подвес на стену, ракушка</t>
  </si>
  <si>
    <t>УТ000057365</t>
  </si>
  <si>
    <t>Часы-будильник Perfeo Quartz PF-TC-009, круглые диам. 15,3 см, подвес на стену, штурвал</t>
  </si>
  <si>
    <t>УТ000057368</t>
  </si>
  <si>
    <t>Часы-будильник Perfeo Quartz PF-TC-010,, квадратные 14,8*14,8 см, подвес на стену, ракушка</t>
  </si>
  <si>
    <t>УТ000057369</t>
  </si>
  <si>
    <t>Часы-будильник Perfeo Quartz PF-TC-010,, квадратные 14,8*14,8 см, подвес на стену, штурвал</t>
  </si>
  <si>
    <t xml:space="preserve"> Часы настенные электроные</t>
  </si>
  <si>
    <t>УТ000052295</t>
  </si>
  <si>
    <t>Часы настенные OT-CLW08, белый</t>
  </si>
  <si>
    <t>УТ000052296</t>
  </si>
  <si>
    <t>Часы настенные OT-CLW08, зеленый</t>
  </si>
  <si>
    <t xml:space="preserve"> Часы настольные кварцевые, будильники</t>
  </si>
  <si>
    <t>УТ000047901</t>
  </si>
  <si>
    <t>Часы-будильник Perfeo Quartz PF-TC-002, ромб, белый</t>
  </si>
  <si>
    <t>УТ000047904</t>
  </si>
  <si>
    <t>Часы-будильник Perfeo Quartz PF-TC-002, ромб, синий</t>
  </si>
  <si>
    <t>УТ000050769</t>
  </si>
  <si>
    <t>Часы-будильник Perfeo Quartz PF-TC-004, прямоугольный, синий</t>
  </si>
  <si>
    <t>УТ000043888</t>
  </si>
  <si>
    <t>Часы-будильник Perfeo Quartz PF-TC-005, прямоугольный, белый</t>
  </si>
  <si>
    <t>УТ000043889</t>
  </si>
  <si>
    <t>Часы-будильник Perfeo Quartz PF-TC-005, прямоугольный, красный</t>
  </si>
  <si>
    <t>УТ000043890</t>
  </si>
  <si>
    <t>Часы-будильник Perfeo Quartz PF-TC-005, прямоугольный, синий</t>
  </si>
  <si>
    <t>УТ000057917</t>
  </si>
  <si>
    <t>Часы-будильник Perfeo Quartz PF-TC-013, круглые диам. 10,5 см, маяк</t>
  </si>
  <si>
    <t>УТ000057919</t>
  </si>
  <si>
    <t>Часы-будильник Perfeo Quartz PF-TC-013, круглые диам. 10,5 см, штурвал</t>
  </si>
  <si>
    <t xml:space="preserve"> Часы настольные электронные</t>
  </si>
  <si>
    <t>УТ000000763</t>
  </si>
  <si>
    <t>Часы VST711-2 эл.сетевые зеленые цифры</t>
  </si>
  <si>
    <t>УТ000004234</t>
  </si>
  <si>
    <t>Часы VST712-2 эл.сетевые зелёные цифры</t>
  </si>
  <si>
    <t>УТ000004235</t>
  </si>
  <si>
    <t>Часы VST712-4 эл.сетевые зелёные цифры</t>
  </si>
  <si>
    <t>УТ000035567</t>
  </si>
  <si>
    <t>Часы VST712-6 эл.сетевые белые цифры</t>
  </si>
  <si>
    <t>00410055824</t>
  </si>
  <si>
    <t>Часы VST715-2 эл.сетевые зеленые цифры</t>
  </si>
  <si>
    <t>УТ000004237</t>
  </si>
  <si>
    <t>Часы VST715-4 эл.сетевые зеленые цифры</t>
  </si>
  <si>
    <t>УТ000020048</t>
  </si>
  <si>
    <t>Часы VST715-6 эл.сетевые белые цифры</t>
  </si>
  <si>
    <t>00410054202</t>
  </si>
  <si>
    <t>Часы VST717-2 эл.сетевые зеленые цифры</t>
  </si>
  <si>
    <t>00410054203</t>
  </si>
  <si>
    <t>Часы VST717-4 эл.сетевые зеленые цифры</t>
  </si>
  <si>
    <t>УТ000020050</t>
  </si>
  <si>
    <t>Часы VST717-6 эл.сетевые белые цифры</t>
  </si>
  <si>
    <t>00410052568</t>
  </si>
  <si>
    <t>Часы VST719-2 эл.сетевые зеленые цифры</t>
  </si>
  <si>
    <t>00410050862</t>
  </si>
  <si>
    <t>Часы VST721-2 эл.сетевые зелёные цифры</t>
  </si>
  <si>
    <t>00410057689</t>
  </si>
  <si>
    <t>Часы VST721-5 эл.сетевые синие цифры</t>
  </si>
  <si>
    <t>00410051934</t>
  </si>
  <si>
    <t>Часы VST728-1 эл.сетевые красные цифры</t>
  </si>
  <si>
    <t>00410057690</t>
  </si>
  <si>
    <t>Часы VST728-4 эл.сетевые зелёные цифры</t>
  </si>
  <si>
    <t>00410052570</t>
  </si>
  <si>
    <t>Часы VST772-2 эл.сетевые зеленые цифры без блока</t>
  </si>
  <si>
    <t>УТ000052301</t>
  </si>
  <si>
    <t>Часы VST862-1 эл.сетевые красные цифры, коричневый</t>
  </si>
  <si>
    <t>УТ000004245</t>
  </si>
  <si>
    <t>Часы VST902-1 эл.сетевые красные цифры + радио</t>
  </si>
  <si>
    <t>УТ000004246</t>
  </si>
  <si>
    <t>Часы VST902-2 эл.сетевые зелёные цифры + радио</t>
  </si>
  <si>
    <t>УТ000001984</t>
  </si>
  <si>
    <t>Часы VST906-1 эл.сетевые красные цифры + радио</t>
  </si>
  <si>
    <t>УТ000054909</t>
  </si>
  <si>
    <t>Часы настольные проекционные DS-618 темпер., будильник, 3 AAA</t>
  </si>
  <si>
    <t xml:space="preserve"> Техника для кухни</t>
  </si>
  <si>
    <t xml:space="preserve"> Зажигалки, горелки</t>
  </si>
  <si>
    <t>УТ000058260</t>
  </si>
  <si>
    <t>Зажигалка-горелка газовая прозрачная (013)</t>
  </si>
  <si>
    <t>УТ000028383</t>
  </si>
  <si>
    <t>Пьезозажигалка ENERGY JZDD-25-G, зеленая 157444</t>
  </si>
  <si>
    <t>УТ000050540</t>
  </si>
  <si>
    <t>Пьезозажигалка ENERGY JZDD-25-R красная 157790</t>
  </si>
  <si>
    <t>УТ000028382</t>
  </si>
  <si>
    <t>Пьезозажигалка ENERGY JZDD-25-В, синяя 157445</t>
  </si>
  <si>
    <t>УТ000053428</t>
  </si>
  <si>
    <t>Пьезозажигалка HOMESTAR HS-1206</t>
  </si>
  <si>
    <t xml:space="preserve"> Кипятильник электрический</t>
  </si>
  <si>
    <t>УТ000022684</t>
  </si>
  <si>
    <t>Кипятильник электрический 0,5 кВт HJ-116</t>
  </si>
  <si>
    <t>УТ000036531</t>
  </si>
  <si>
    <t>Кипятильник электрический 0,5 кВт HJ-138 желтый</t>
  </si>
  <si>
    <t>00401052399</t>
  </si>
  <si>
    <t>Кипятильник электрический 1000 Вт (г.Великие Луки)</t>
  </si>
  <si>
    <t>00401052400</t>
  </si>
  <si>
    <t>Кипятильник электрический 1200 Вт (г.Великие Луки)</t>
  </si>
  <si>
    <t>00401052401</t>
  </si>
  <si>
    <t>Кипятильник электрический 1500 Вт (г.Великие Луки)</t>
  </si>
  <si>
    <t>УТ000052346</t>
  </si>
  <si>
    <t>Кипятильник электрический 1500 Вт HJ-101 зеленый</t>
  </si>
  <si>
    <t>УТ000054617</t>
  </si>
  <si>
    <t>Кипятильник электрический 1500 Вт HJ-115 черный</t>
  </si>
  <si>
    <t>УТ000052348</t>
  </si>
  <si>
    <t>Кипятильник электрический 1500 Вт HJ-1515 синий</t>
  </si>
  <si>
    <t>УТ000052349</t>
  </si>
  <si>
    <t>Кипятильник электрический 1500 Вт HJ-1518 белый</t>
  </si>
  <si>
    <t>00401052397</t>
  </si>
  <si>
    <t>Кипятильник электрический 300 Вт (г.Великие Луки)</t>
  </si>
  <si>
    <t>УТ000001294</t>
  </si>
  <si>
    <t>Кипятильник электрический 630 Вт (г.Великие Луки)</t>
  </si>
  <si>
    <t xml:space="preserve"> Спиртометры</t>
  </si>
  <si>
    <t>УТ000052554</t>
  </si>
  <si>
    <t>Виномер бытовой (16,5*1,3*1,3) диапазон 0-25%</t>
  </si>
  <si>
    <t>УТ000056242</t>
  </si>
  <si>
    <t>Спиртометр бытовой универсальный 15,5*1,3*1,3см , диапазон 0-96%</t>
  </si>
  <si>
    <t xml:space="preserve"> Чайники электрические</t>
  </si>
  <si>
    <t>УТ000046234</t>
  </si>
  <si>
    <t>Чайник автомобильный 12В 120Вт 0,8л серый Airline ABK-12-01</t>
  </si>
  <si>
    <t>УТ000034903</t>
  </si>
  <si>
    <t>Чайник электрический Матрёна МА-002 1500Вт 1,8л металл, жёлтый 5407</t>
  </si>
  <si>
    <t xml:space="preserve"> Электрические плиты</t>
  </si>
  <si>
    <t>УТ000053882</t>
  </si>
  <si>
    <t>Плита электрическая 1 конфорка, диск 1000Вт RusMaster WY-01D УЮТ</t>
  </si>
  <si>
    <t>УТ000053883</t>
  </si>
  <si>
    <t>Плита электрическая 1 конфорка, спираль 1000Вт RusMaster WY-02D НАРОДНАЯ</t>
  </si>
  <si>
    <t>УТ000024537</t>
  </si>
  <si>
    <t>Плита электрическая 1 конфорка, спираль 1000Вт белая ENERGY EN-902 158902</t>
  </si>
  <si>
    <t>УТ000024538</t>
  </si>
  <si>
    <t>Плита электрическая 1 конфорка, спираль 1000Вт черная ENERGY EN-902B 158966</t>
  </si>
  <si>
    <t>УТ000053884</t>
  </si>
  <si>
    <t>Плита электрическая 2 конфорка, спираль 2000Вт RusMaster WY-05 НАРОДНАЯ</t>
  </si>
  <si>
    <t>УТ000015999</t>
  </si>
  <si>
    <t>Плита электрическая 2 конфорки, спираль 1000+1000Вт белая ENERGY EN-904</t>
  </si>
  <si>
    <t>УТ000055649</t>
  </si>
  <si>
    <t>Плитка электрическая "HOT PLATE" 1конф (1000Вт) спираль JX-1010B</t>
  </si>
  <si>
    <t>УТ000022174</t>
  </si>
  <si>
    <t>Плитка электрическая "HOT PLATE" 2конф (1000Вт+1000Вт) спираль 2020B</t>
  </si>
  <si>
    <t>УТ000024540</t>
  </si>
  <si>
    <t>Плитка электрическая HomeStar HS-1103  1 конф, спираль 1000Вт</t>
  </si>
  <si>
    <t>УТ000058069</t>
  </si>
  <si>
    <t>Плитка электрическая дисковая 1конф (1000Вт) 1010A</t>
  </si>
  <si>
    <t>УТ000058070</t>
  </si>
  <si>
    <t>Плитка электрическая дисковая 2конф (1000Вт+1000Вт)  2020A</t>
  </si>
  <si>
    <t xml:space="preserve"> Товары для детского творчества</t>
  </si>
  <si>
    <t xml:space="preserve"> Приборы для выжигания</t>
  </si>
  <si>
    <t>УТ000057713</t>
  </si>
  <si>
    <t>Набор для выжигания Помощник PM-INP28 (5 в 1)</t>
  </si>
  <si>
    <t xml:space="preserve"> Товары для туризма</t>
  </si>
  <si>
    <t>УТ000059127</t>
  </si>
  <si>
    <t>Бутылка алюминиевая 1000ml для спорта, с карабином, цветная Oregon 16405-28</t>
  </si>
  <si>
    <t>УТ000059124</t>
  </si>
  <si>
    <t>Бутылка алюминиевая 400ml для спорта, с карабином, цветная Oregon 16405-24</t>
  </si>
  <si>
    <t>УТ000059125</t>
  </si>
  <si>
    <t>Бутылка алюминиевая 600ml для спорта, с карабином, цветная Oregon 16405-26</t>
  </si>
  <si>
    <t>УТ000059126</t>
  </si>
  <si>
    <t>Бутылка алюминиевая 750ml для спорта, с карабином, цветная Oregon 16405-27</t>
  </si>
  <si>
    <t>УТ000058022</t>
  </si>
  <si>
    <t>Термокружка металлическая 450мл, с металлической крышкой, пластиковая ручка ,16405-31</t>
  </si>
  <si>
    <t>УТ000058025</t>
  </si>
  <si>
    <t>Термокружка металлическая 450мл, с пластиковой крышкой, цветная 16405-29 CLASSIC</t>
  </si>
  <si>
    <t>УТ000058024</t>
  </si>
  <si>
    <t>Термокружка металлическая 450мл, с пластиковой крышкой, цветная 16405-30</t>
  </si>
  <si>
    <t>УТ000058023</t>
  </si>
  <si>
    <t>Термокружка металлическая 450мл, с пластиковой крышкой,16405-23</t>
  </si>
  <si>
    <t>УТ000055277</t>
  </si>
  <si>
    <t>Термос 0,6л "600 Sport" ремешок+стаканчик</t>
  </si>
  <si>
    <t>УТ000055278</t>
  </si>
  <si>
    <t>Термос 0,8л "800 Sport" ремешок+стаканчик</t>
  </si>
  <si>
    <t>УТ000033529</t>
  </si>
  <si>
    <t>Термос нержавеющая сталь с узким горлом 1000мл, крышка-клапан, чашка, без ручки 16405-6</t>
  </si>
  <si>
    <t>УТ000051395</t>
  </si>
  <si>
    <t>Термос нержавеющая сталь с узким горлом 1000мл, крышка-клапан, чашка, в чехле 16405-9</t>
  </si>
  <si>
    <t>УТ000055282</t>
  </si>
  <si>
    <t>Термос нержавеющая сталь с узким горлом 350мл, крышка-клапан, чашка, без ручки 16405-3</t>
  </si>
  <si>
    <t>УТ000054789</t>
  </si>
  <si>
    <t>Термос нержавеющая сталь с узким горлом 500мл, крышка-клапан, чашка, 16405-32 Leaf</t>
  </si>
  <si>
    <t>УТ000057135</t>
  </si>
  <si>
    <t>Термос нержавеющая сталь с узким горлом 500мл, крышка-клапан, чашка, без ручки 16405-4</t>
  </si>
  <si>
    <t>УТ000057136</t>
  </si>
  <si>
    <t>Термос нержавеющая сталь с узким горлом 500мл, крышка-клапан, чашка, в чехле 16405-7</t>
  </si>
  <si>
    <t>УТ000057433</t>
  </si>
  <si>
    <t>Термос нержавеющая сталь с узким горлом 600мл, крышка-клапан, чашка, 16405-18 Travel</t>
  </si>
  <si>
    <t>УТ000057861</t>
  </si>
  <si>
    <t>Термос нержавеющая сталь с узким горлом 750мл, крышка-клапан, чашка,  в чехле16405-8</t>
  </si>
  <si>
    <t>УТ000058026</t>
  </si>
  <si>
    <t>Термос нержавеющая сталь с узким горлом 750мл, крышка-клапан, чашка, 16405-19 Travel</t>
  </si>
  <si>
    <t>УТ000033528</t>
  </si>
  <si>
    <t>Термос нержавеющая сталь с узким горлом 750мл, крышка-клапан, чашка, без ручки 16405-5</t>
  </si>
  <si>
    <t>УТ000057752</t>
  </si>
  <si>
    <t>Термос умный OG-HOG06 с датчиком температуры  500мл, чёрный</t>
  </si>
  <si>
    <t xml:space="preserve"> Геймпады, игровые приставки и аксессуары</t>
  </si>
  <si>
    <t xml:space="preserve"> Геймпады, джойстики, аксесуары</t>
  </si>
  <si>
    <t xml:space="preserve"> Геймпады для компьютеров ПК проводные</t>
  </si>
  <si>
    <t>00000001151</t>
  </si>
  <si>
    <t>Геймпад проводной Defender GAME MASTER G2 13 кнопок, для PC</t>
  </si>
  <si>
    <t>УТ000009209</t>
  </si>
  <si>
    <t>Геймпад проводной Defender Vortex 13 кнопок, USB, черный для PC</t>
  </si>
  <si>
    <t>УТ000014403</t>
  </si>
  <si>
    <t>Геймпад проводной Defender ZOOM USB Xinput, 10 кнопок, 2 стика для PC</t>
  </si>
  <si>
    <t>00410053052</t>
  </si>
  <si>
    <t>Геймпад проводной Dialog GP-A15 Action-вибрация, 12 кнопок, USB, черно-красный для PC</t>
  </si>
  <si>
    <t xml:space="preserve"> Геймпады для приставок 8 bit, аксессуары</t>
  </si>
  <si>
    <t>УТ000027487</t>
  </si>
  <si>
    <t>Джойстик для Денди (форма Сега) 15pin</t>
  </si>
  <si>
    <t>УТ000027486</t>
  </si>
  <si>
    <t>Джойстик для Денди классический 9pin G1</t>
  </si>
  <si>
    <t xml:space="preserve"> Геймпады для приставок Microsoft Xbox, аксессуары</t>
  </si>
  <si>
    <t xml:space="preserve"> Аксессуары для приставок Microsoft Xbox</t>
  </si>
  <si>
    <t>УТ000042407</t>
  </si>
  <si>
    <t>Чехол защитный для XBox One S silicone case Pink</t>
  </si>
  <si>
    <t>УТ000042408</t>
  </si>
  <si>
    <t>Чехол защитный для XBox One S silicone case White</t>
  </si>
  <si>
    <t xml:space="preserve"> Геймпады для приставок Sony Playstation, аксессуары</t>
  </si>
  <si>
    <t xml:space="preserve"> Аксессуары для Sony Playstation</t>
  </si>
  <si>
    <t>УТ000028391</t>
  </si>
  <si>
    <t>Кабель компонентный для PS2/PS3</t>
  </si>
  <si>
    <t>УТ000037837</t>
  </si>
  <si>
    <t>Чехол защитный для PS4 Silicon Case for Controller Blue</t>
  </si>
  <si>
    <t>УТ000029705</t>
  </si>
  <si>
    <t>Чехол защитный для PS4 Silicon Case for Controller Camuflage Black/Green</t>
  </si>
  <si>
    <t>УТ000029706</t>
  </si>
  <si>
    <t>Чехол защитный для PS4 Silicon Case for Controller Camuflage Black/Red</t>
  </si>
  <si>
    <t>УТ000039737</t>
  </si>
  <si>
    <t>Чехол защитный для PS4 Silicon Case for Controller Gray</t>
  </si>
  <si>
    <t>УТ000039738</t>
  </si>
  <si>
    <t>Чехол защитный для PS4 Silicon Case for Controller Green</t>
  </si>
  <si>
    <t>УТ000043463</t>
  </si>
  <si>
    <t>Чехол защитный для PS4 Silicon Case for Controller Light Blue</t>
  </si>
  <si>
    <t>УТ000040803</t>
  </si>
  <si>
    <t>Чехол защитный для PS4 Silicon Case for Controller Non-Slip Black-Yellow</t>
  </si>
  <si>
    <t>УТ000039740</t>
  </si>
  <si>
    <t>Чехол защитный для PS4 Silicon Case for Controller Yellow</t>
  </si>
  <si>
    <t>УТ000039739</t>
  </si>
  <si>
    <t>Чехол защитный для PS4 Silicon Case for Controller прозрачный</t>
  </si>
  <si>
    <t xml:space="preserve"> Геймпады для PS3</t>
  </si>
  <si>
    <t>УТ000037487</t>
  </si>
  <si>
    <t>Геймпад беспроводной для PS3 белый</t>
  </si>
  <si>
    <t>УТ000037010</t>
  </si>
  <si>
    <t>Геймпад беспроводной для PS3 Красный</t>
  </si>
  <si>
    <t>УТ000033266</t>
  </si>
  <si>
    <t>Геймпад беспроводной для PS3 Серый</t>
  </si>
  <si>
    <t>УТ000055598</t>
  </si>
  <si>
    <t>Геймпад беспроводной для PS3 Синий</t>
  </si>
  <si>
    <t>УТ000036237</t>
  </si>
  <si>
    <t>Геймпад беспроводной для PS3, Хаки</t>
  </si>
  <si>
    <t>УТ000033701</t>
  </si>
  <si>
    <t>Геймпад беспроводной для PS3, черный</t>
  </si>
  <si>
    <t>УТ000039637</t>
  </si>
  <si>
    <t>Геймпад беспроводной Орбита 169 Bluetooth, 15 кнопок, 2 стика, вибрация, для PS3 (OT-PCG02) серебро</t>
  </si>
  <si>
    <t>УТ000039638</t>
  </si>
  <si>
    <t>Геймпад беспроводной Орбита 169 Bluetooth, 15 кнопок, 2 стика, вибрация, для PS3 (OT-PCG02) синий</t>
  </si>
  <si>
    <t>УТ000057345</t>
  </si>
  <si>
    <t>Геймпад беспроводной Орбита Bluetooth, вибрация, для PS3/Android/iOS OSPCG21</t>
  </si>
  <si>
    <t>УТ000059153</t>
  </si>
  <si>
    <t>Геймпад Х3+ беспроводной для телефонов c кронштейном (Micro)</t>
  </si>
  <si>
    <t xml:space="preserve"> Геймпады для PS4</t>
  </si>
  <si>
    <t>УТ000053993</t>
  </si>
  <si>
    <t>Геймпад беспроводной Bluetooth, 15 кнопок, 2 стика, вибрация, для PS4, PC, Android, IOS (OT-PCG12) красный</t>
  </si>
  <si>
    <t>УТ000033809</t>
  </si>
  <si>
    <t>Геймпад беспроводной для PS4 Wireless v2 синий</t>
  </si>
  <si>
    <t>УТ000033703</t>
  </si>
  <si>
    <t>Геймпад беспроводной для PS4 Wireless v2 черный</t>
  </si>
  <si>
    <t>УТ000053994</t>
  </si>
  <si>
    <t>Геймпад проводной, 15 кнопок, 2 стика, вибрация, для PS4, PC (OT-PCG13) белый</t>
  </si>
  <si>
    <t>УТ000056646</t>
  </si>
  <si>
    <t>Геймпад проводной, 15 кнопок, 2 стика, вибрация, для PS4, PC (OT-PCG13) синий</t>
  </si>
  <si>
    <t xml:space="preserve"> Геймпады для приставок16 bit, аксессуары</t>
  </si>
  <si>
    <t>УТ000026194</t>
  </si>
  <si>
    <t>Блок питания 10В, 1000мA, для денди и сеги, обратная полярность, штекер 5,5x2,5мм, 1010</t>
  </si>
  <si>
    <t>УТ000048219</t>
  </si>
  <si>
    <t>Блок питания 5В для денди и сеги, обратная полярность, 5,5х2,5мм</t>
  </si>
  <si>
    <t>УТ000051493</t>
  </si>
  <si>
    <t>Блок питания 5В для сеги Hamy, 5,5х2,1мм</t>
  </si>
  <si>
    <t xml:space="preserve"> Геймпады для смартфонов Android/iOS</t>
  </si>
  <si>
    <t>УТ000049301</t>
  </si>
  <si>
    <t>Геймпад беспроводной IPEGA PG-9217A</t>
  </si>
  <si>
    <t>УТ000043926</t>
  </si>
  <si>
    <t>Напальчники сенсорные для игр на смартфоне</t>
  </si>
  <si>
    <t xml:space="preserve"> Геймпады универсальные</t>
  </si>
  <si>
    <t>УТ000049304</t>
  </si>
  <si>
    <t>Геймпад беспроводной Bluetooth, 15 кнопок, 2 стика, вибрация, для PS4, PC, Android, IOS (OT-PCG12) черный</t>
  </si>
  <si>
    <t>УТ000049302</t>
  </si>
  <si>
    <t>Геймпад беспроводной IPEGA PG-SW018A, совместимость PS3, PC, Android</t>
  </si>
  <si>
    <t>УТ000049303</t>
  </si>
  <si>
    <t>Геймпад беспроводной IPEGA PG-SW038A, совместимость PS3, PC, Android</t>
  </si>
  <si>
    <t>УТ000049305</t>
  </si>
  <si>
    <t>Геймпад проводной, 15 кнопок, 2 стика, вибрация, для PS4, PC (OT-PCG13) черный</t>
  </si>
  <si>
    <t xml:space="preserve"> Игровые приставки</t>
  </si>
  <si>
    <t>УТ000059152</t>
  </si>
  <si>
    <t>Игровая портативная приставка S10 520в1черная (AUX-2RCA)</t>
  </si>
  <si>
    <t>УТ000017467</t>
  </si>
  <si>
    <t>Игровая приставка 16 Bit II, 368 встроенных игр черная</t>
  </si>
  <si>
    <t>УТ000059154</t>
  </si>
  <si>
    <t>Игровая приставка 16 Bit II, 500 встроенных игр зеленая</t>
  </si>
  <si>
    <t xml:space="preserve"> Измерительные приборы</t>
  </si>
  <si>
    <t xml:space="preserve"> Головки измерительные цифровые</t>
  </si>
  <si>
    <t xml:space="preserve"> Цифровые, переменного тока</t>
  </si>
  <si>
    <t>УТ000050670</t>
  </si>
  <si>
    <t>Амперметр электронный 0-100А AC, красное свечение DMS-215</t>
  </si>
  <si>
    <t>УТ000035224</t>
  </si>
  <si>
    <t>Вольтметр цифровой AC Uвх=12-500ACV/2-80Гц (перемен, три цифры) зеленый DMS-143</t>
  </si>
  <si>
    <t>УТ000053472</t>
  </si>
  <si>
    <t>Вольтметр цифровой AC Uвх=20-500ACV перемен, три цифры, круглый экран, оранжевый DMS-132</t>
  </si>
  <si>
    <t xml:space="preserve"> Цифровые, постоянного тока</t>
  </si>
  <si>
    <t>УТ000056914</t>
  </si>
  <si>
    <t>Вольтметр цифровой (N), DC Uпит=4-40В, Uизм=0-100В, 0.28"(22х10х8мм), 2PIN, три цифры синие</t>
  </si>
  <si>
    <t>УТ000027362</t>
  </si>
  <si>
    <t>Вольтметр цифровой DC Uвх=3.5-30В, 0.28"(22х10х8мм), 2PIN, три цифры красные</t>
  </si>
  <si>
    <t>УТ000027363</t>
  </si>
  <si>
    <t>Вольтметр цифровой DC Uвх=3.5-30В, 0.28"(22х10х8мм), 2PIN, три цифры синие</t>
  </si>
  <si>
    <t>УТ000022415</t>
  </si>
  <si>
    <t>Вольтметр цифровой DC Uвх=4.5-30В, 0.36"(21.5x13x8мм), 2PIN, три цифры красные</t>
  </si>
  <si>
    <t>УТ000048808</t>
  </si>
  <si>
    <t>Вольтметр цифровой DC Uизм=4-100В 0.56"(48x29x22мм), 3PIN, 3 цифры зеленые</t>
  </si>
  <si>
    <t xml:space="preserve"> Мультиметры</t>
  </si>
  <si>
    <t xml:space="preserve"> Мультиметры цифровые</t>
  </si>
  <si>
    <t>УТ000047273</t>
  </si>
  <si>
    <t>Мультиметр цифровой 25</t>
  </si>
  <si>
    <t>УТ000047274</t>
  </si>
  <si>
    <t>УТ000010833</t>
  </si>
  <si>
    <t>Мультиметр цифровой 26</t>
  </si>
  <si>
    <t>УТ000005822</t>
  </si>
  <si>
    <t>Мультиметр цифровой DT-700B (OT-INM23)</t>
  </si>
  <si>
    <t>УТ000009854</t>
  </si>
  <si>
    <t>Мультиметр цифровой DT-700D (OT-INM24)</t>
  </si>
  <si>
    <t>УТ000048826</t>
  </si>
  <si>
    <t>Мультиметр цифровой DT-830B Dream</t>
  </si>
  <si>
    <t>УТ000006789</t>
  </si>
  <si>
    <t>Мультиметр цифровой DT-832 сигнал прозвонки</t>
  </si>
  <si>
    <t>УТ000022787</t>
  </si>
  <si>
    <t>Мультиметр цифровой DT-9205A</t>
  </si>
  <si>
    <t>УТ000001738</t>
  </si>
  <si>
    <t>Мультиметр цифровой DT-9208A OT-INM29</t>
  </si>
  <si>
    <t>УТ000047591</t>
  </si>
  <si>
    <t>Мультиметр цифровой ENERGY POWER XL830L (в калоше)</t>
  </si>
  <si>
    <t>УТ000056696</t>
  </si>
  <si>
    <t>Мультиметр цифровой LP-838 Live-Power</t>
  </si>
  <si>
    <t>00410057362</t>
  </si>
  <si>
    <t>Мультиметр цифровой M838 (OT-INM14)</t>
  </si>
  <si>
    <t>00410053029</t>
  </si>
  <si>
    <t>Мультиметр цифровой M838P (OT-INM15)</t>
  </si>
  <si>
    <t>УТ000007141</t>
  </si>
  <si>
    <t>Мультиметр цифровой MD830 (OT-INM10)</t>
  </si>
  <si>
    <t>00410053027</t>
  </si>
  <si>
    <t>Мультиметр цифровой MD830P (OT-INM11)</t>
  </si>
  <si>
    <t>УТ000041133</t>
  </si>
  <si>
    <t>Мультиметр цифровой OT-INM30</t>
  </si>
  <si>
    <t>УТ000053967</t>
  </si>
  <si>
    <t>Мультиметр цифровой Robiton Master AMM-001</t>
  </si>
  <si>
    <t>УТ000043475</t>
  </si>
  <si>
    <t>Мультиметр цифровой Robiton Master DMM-100</t>
  </si>
  <si>
    <t>УТ000043477</t>
  </si>
  <si>
    <t>Мультиметр цифровой Robiton Master DMM-250 сигнал прозвонки, датчик темпиратуры</t>
  </si>
  <si>
    <t>УТ000043478</t>
  </si>
  <si>
    <t>Мультиметр цифровой Robiton Master DMM-500</t>
  </si>
  <si>
    <t>УТ000037077</t>
  </si>
  <si>
    <t>Мультиметр цифровой Robiton Master DMM-850 BL-1</t>
  </si>
  <si>
    <t>УТ000057334</t>
  </si>
  <si>
    <t>Мультиметр цифровой TRUE RMS OT-INM38</t>
  </si>
  <si>
    <t>УТ000054616</t>
  </si>
  <si>
    <t>Мультиметр цифровой XL830L</t>
  </si>
  <si>
    <t>УТ000056483</t>
  </si>
  <si>
    <t>Мультиметр цифровой, автоматический True-RMS, ZT98</t>
  </si>
  <si>
    <t>УТ000056486</t>
  </si>
  <si>
    <t>Мультиметр цифровой, с кабель-тестером DT4300B</t>
  </si>
  <si>
    <t xml:space="preserve"> Мультиметры цифровые True-RMS</t>
  </si>
  <si>
    <t>УТ000042373</t>
  </si>
  <si>
    <t>Мультиметр цифровой, автоматический выбор пределов  ZT-C1 True-RMS</t>
  </si>
  <si>
    <t xml:space="preserve"> Мультиметры цифровые, компактные</t>
  </si>
  <si>
    <t>УТ000050030</t>
  </si>
  <si>
    <t>Мультиметр цифровой DT-182</t>
  </si>
  <si>
    <t>УТ000043770</t>
  </si>
  <si>
    <t>Мультиметр цифровой M830D+ (в калоше)</t>
  </si>
  <si>
    <t xml:space="preserve"> Мультиметры, аксессуары</t>
  </si>
  <si>
    <t>УТ000056586</t>
  </si>
  <si>
    <t>Зажимы-крюк для мультиметра, комплект 2шт</t>
  </si>
  <si>
    <t>УТ000053968</t>
  </si>
  <si>
    <t>Термощупы для мультиметров Robiton Master TL-03</t>
  </si>
  <si>
    <t>УТ000057993</t>
  </si>
  <si>
    <t>Щуп-пинцет Dream TL03 для мультиметра для SMD компонентов</t>
  </si>
  <si>
    <t>УТ000035838</t>
  </si>
  <si>
    <t>Щупы для мультиметра с крокодилами, 1000в, PVC, длина провода 1100мм, косой штекер, длина щупа 13мм</t>
  </si>
  <si>
    <t>00401051122</t>
  </si>
  <si>
    <t>Щупы для мультиметра, комплект наконечников, 1000в, PVC, длина провода 950мм</t>
  </si>
  <si>
    <t>УТ000017832</t>
  </si>
  <si>
    <t>Щупы для мультиметра, универсальные, 1000в, PVC, длина провода 1100мм, штекер угловой, щуп 13мм</t>
  </si>
  <si>
    <t>УТ000054491</t>
  </si>
  <si>
    <t>Щупы для мультиметров с крокодилами, длина 1м (2 шт. красный, черный)</t>
  </si>
  <si>
    <t>УТ000052647</t>
  </si>
  <si>
    <t>Щупы для мультиметров угловые TL01 Dream</t>
  </si>
  <si>
    <t>УТ000058194</t>
  </si>
  <si>
    <t>Щупы для мультиметров угловые TL02 20A Dream</t>
  </si>
  <si>
    <t>УТ000057718</t>
  </si>
  <si>
    <t>Щупы для осциллографа с крокодилами, длина 1м</t>
  </si>
  <si>
    <t xml:space="preserve"> Пробники, индикаторы, детекторы</t>
  </si>
  <si>
    <t>УТ000057427</t>
  </si>
  <si>
    <t>Бесконтактный детектор напряжения "LIT"</t>
  </si>
  <si>
    <t>УТ000040128</t>
  </si>
  <si>
    <t>Бесконтактный детектор напряжения Robiton VT-007</t>
  </si>
  <si>
    <t>УТ000011181</t>
  </si>
  <si>
    <t>Отвертка индикатор VD04 (до 250В)</t>
  </si>
  <si>
    <t>УТ000055452</t>
  </si>
  <si>
    <t>Отвертка индикаторная 135мм, шлицевая, серт., испытания SmartBuy (SBT-SCT-135OP1)</t>
  </si>
  <si>
    <t>УТ000029052</t>
  </si>
  <si>
    <t>Отвертка индикаторная 135мм, шлицевая, серт., испытания SmartBuy (SBT-SCT-T135P1)</t>
  </si>
  <si>
    <t>УТ000055423</t>
  </si>
  <si>
    <t>Отвертка индикаторная 140мм, шлицевая, серт., испытания SmartBuy (SBT-SCT-OP2)</t>
  </si>
  <si>
    <t>УТ000029053</t>
  </si>
  <si>
    <t>Отвертка индикаторная 150мм, шлицевая, протокол, испытания SmartBuy</t>
  </si>
  <si>
    <t>УТ000029054</t>
  </si>
  <si>
    <t>Отвертка индикаторная 150мм, шлицевая, серт., испытания SmartBuy</t>
  </si>
  <si>
    <t>УТ000031135</t>
  </si>
  <si>
    <t>Отвертка индикаторная Robiton VT-005 многофункциональный индикатор напряжения</t>
  </si>
  <si>
    <t>УТ000022170</t>
  </si>
  <si>
    <t>Отвёртка индикаторная-тестер многофункциональный, светодиод  MS-18</t>
  </si>
  <si>
    <t>УТ000047938</t>
  </si>
  <si>
    <t>Тестер розеток Robiton ST-01</t>
  </si>
  <si>
    <t xml:space="preserve"> Токовые клещи</t>
  </si>
  <si>
    <t>00410057892</t>
  </si>
  <si>
    <t>Мультиметр Digital 3266L OT-INM21 (измерение постоянного/переменного напряжения, сопротивления, частоты, электроемкости, тестирование диодов, транзисторов, клещи)</t>
  </si>
  <si>
    <t>УТ000047275</t>
  </si>
  <si>
    <t>УТ000053771</t>
  </si>
  <si>
    <t>Мультиметр цифровой клещи ST201 (чехол)</t>
  </si>
  <si>
    <t>УТ000053772</t>
  </si>
  <si>
    <t>Мультиметр-клещи токоизмерительные DT-266</t>
  </si>
  <si>
    <t>УТ000047692</t>
  </si>
  <si>
    <t>Мультиметр-клещи токоизмерительные DT266</t>
  </si>
  <si>
    <t>УТ000038576</t>
  </si>
  <si>
    <t>Мультиметр-клещи токоизмерительные M-266 Spark Lux</t>
  </si>
  <si>
    <t>УТ000041842</t>
  </si>
  <si>
    <t>Мультиметр-клещи токоизмерительные Robiton Master DMM-950</t>
  </si>
  <si>
    <t xml:space="preserve"> Электронные измерители физических величин</t>
  </si>
  <si>
    <t>УТ000043100</t>
  </si>
  <si>
    <t>Дальномер ультразвуковой OT-INM37 WH1005</t>
  </si>
  <si>
    <t xml:space="preserve"> Инструмент и оснастка</t>
  </si>
  <si>
    <t xml:space="preserve"> Электроинструмент</t>
  </si>
  <si>
    <t>УТ000057901</t>
  </si>
  <si>
    <t>Беспроводной аккумуляторный гравер, набор насадок SG-02</t>
  </si>
  <si>
    <t xml:space="preserve"> Газовые горелки</t>
  </si>
  <si>
    <t xml:space="preserve"> Газовая горелка с пьезоподжигом</t>
  </si>
  <si>
    <t>УТ000039099</t>
  </si>
  <si>
    <t>Газовая горелка c пьезоподжигом Ricas-816</t>
  </si>
  <si>
    <t>УТ000035202</t>
  </si>
  <si>
    <t>Горелка газовая на цанговый баллон с пьезоподжигом Master 1005</t>
  </si>
  <si>
    <t>УТ000035197</t>
  </si>
  <si>
    <t>Горелка газовая на цанговый баллон с пьезоподжигом металл. Flame Gun 9001</t>
  </si>
  <si>
    <t>УТ000035199</t>
  </si>
  <si>
    <t>Горелка газовая на цанговый баллон с пьезоподжигом с рукоятью Master TK-102</t>
  </si>
  <si>
    <t xml:space="preserve"> Газовая горелка с ручным поджигом</t>
  </si>
  <si>
    <t>УТ000054847</t>
  </si>
  <si>
    <t>Газовая горелка Flame Gun 8013</t>
  </si>
  <si>
    <t>УТ000042896</t>
  </si>
  <si>
    <t>Горелка газовая на цанговый баллон  19,5*4,*6см 333-098</t>
  </si>
  <si>
    <t>УТ000038429</t>
  </si>
  <si>
    <t>Горелка газовая на цанговый баллон сопло 17мм, 13*6,5*5см Чингизхан</t>
  </si>
  <si>
    <t>УТ000038430</t>
  </si>
  <si>
    <t>Горелка газовая на цанговый баллон сопло 23мм, 18*6,5*5см Чингизхан</t>
  </si>
  <si>
    <t>УТ000027128</t>
  </si>
  <si>
    <t>Горелка газовая на цанговый баллон, ручной поджиг KOVEA KT-2008 Rocket Torch</t>
  </si>
  <si>
    <t xml:space="preserve"> Заправка для горелок, газ, бензин</t>
  </si>
  <si>
    <t>00410056796</t>
  </si>
  <si>
    <t>Газ баллон 220гр, универсальная смесь Сибиар</t>
  </si>
  <si>
    <t>УТ000037726</t>
  </si>
  <si>
    <t>Газ универсальный 220гр. (всесезонный)</t>
  </si>
  <si>
    <t>УТ000053617</t>
  </si>
  <si>
    <t>Зажигалка газовая DJEEP, 3000 поджигов, Зажигаю с гордостью (уп. 10 штук)</t>
  </si>
  <si>
    <t>УТ000053620</t>
  </si>
  <si>
    <t>Зажигалка газовая DJEEP, 3000 поджигов, маленькая, голубая</t>
  </si>
  <si>
    <t>УТ000053619</t>
  </si>
  <si>
    <t>Зажигалка газовая DJEEP, 3000 поджигов, маленькая, синяя</t>
  </si>
  <si>
    <t>УТ000053618</t>
  </si>
  <si>
    <t>Зажигалка газовая DJEEP, 3000 поджигов, серебристая (уп. 10 штук)</t>
  </si>
  <si>
    <t>УТ000053616</t>
  </si>
  <si>
    <t>Зажигалка газовая DJEEP, 3000 поджигов, Синяя (уп. 10 штук)</t>
  </si>
  <si>
    <t>УТ000053622</t>
  </si>
  <si>
    <t>Зажигалка газовая, хромированный металл, заправляемая</t>
  </si>
  <si>
    <t xml:space="preserve"> Защитные средства, экипировка</t>
  </si>
  <si>
    <t xml:space="preserve"> Защитные маски, распираторы</t>
  </si>
  <si>
    <t>УТ000055897</t>
  </si>
  <si>
    <t>Респиратор 1 фильтр очистки, применяется при распылении химикатов, при покраске</t>
  </si>
  <si>
    <t>УТ000036907</t>
  </si>
  <si>
    <t>Респиратор 2 фильтра очистки, применяется при распылении химикатов, при покраске</t>
  </si>
  <si>
    <t xml:space="preserve"> Защитные очки</t>
  </si>
  <si>
    <t>УТ000046007</t>
  </si>
  <si>
    <t>Очки защитные X-Pert прозрачные с синей дужкой Spark Lux SL-185</t>
  </si>
  <si>
    <t>УТ000040234</t>
  </si>
  <si>
    <t>Очки защитные X-Pert прозрачные с широкой дужкой, SN-002</t>
  </si>
  <si>
    <t>УТ000040237</t>
  </si>
  <si>
    <t>Очки защитные закрытого типа Safety Goggles, силиконовые, на резинке</t>
  </si>
  <si>
    <t>УТ000049781</t>
  </si>
  <si>
    <t>Очки защитные прозрачные с желтой дужкой</t>
  </si>
  <si>
    <t>УТ000040239</t>
  </si>
  <si>
    <t>Щиток защитный лицевой, с козырьком, сетчатый</t>
  </si>
  <si>
    <t xml:space="preserve"> Перчатки</t>
  </si>
  <si>
    <t>УТ000057307</t>
  </si>
  <si>
    <t>Краги спилковые жёлтые X-PERT, с меховой подкладкой</t>
  </si>
  <si>
    <t>УТ000057305</t>
  </si>
  <si>
    <t>Краги спилковые красные X-PERT</t>
  </si>
  <si>
    <t>УТ000057306</t>
  </si>
  <si>
    <t>Краги спилковые серые X-PERT</t>
  </si>
  <si>
    <t>УТ000056314</t>
  </si>
  <si>
    <t>Перчатки латексные, одинарный облив, синие, A-42, Spark Lux</t>
  </si>
  <si>
    <t>УТ000058074</t>
  </si>
  <si>
    <t>Перчатки рабочие SPARK LUX  облив пенка, синие пальчики, серо-синие A-23 (12)</t>
  </si>
  <si>
    <t>УТ000057304</t>
  </si>
  <si>
    <t>Перчатки рабочие SPARK LUX латекс.облив, фиолет.пальч, фиолетово-оранж. A-38 (12)</t>
  </si>
  <si>
    <t>УТ000057302</t>
  </si>
  <si>
    <t>Перчатки рабочие SPARK LUX одинарный латексный облив, синие, A-42 (12)</t>
  </si>
  <si>
    <t>УТ000057301</t>
  </si>
  <si>
    <t>Перчатки рабочие SPARK LUX одинарный облив, пенка, чёрн-оранж A-9 (12)</t>
  </si>
  <si>
    <t>УТ000057300</t>
  </si>
  <si>
    <t>Перчатки рабочие X-PERT нейлоновые, точка, 10класс, чёрные (12)</t>
  </si>
  <si>
    <t>УТ000043166</t>
  </si>
  <si>
    <t>Перчатки х/б с ПВХ ЛЕИКИ, белые, 10 класс 70063</t>
  </si>
  <si>
    <t>УТ000054799</t>
  </si>
  <si>
    <t>Перчатки х/б с ПВХ Лидер Текс, 3 нитки, 10 класс</t>
  </si>
  <si>
    <t>УТ000054884</t>
  </si>
  <si>
    <t>Перчатки-краги сварщика все сезонные красные 35 см 198гр 29443</t>
  </si>
  <si>
    <t>УТ000054885</t>
  </si>
  <si>
    <t>Перчатки-краги сварщика силиконовые все сезонные желтые 35 см 290гр. 47365</t>
  </si>
  <si>
    <t xml:space="preserve"> Измерительный инструмент</t>
  </si>
  <si>
    <t xml:space="preserve"> Линейки, уровни</t>
  </si>
  <si>
    <t>УТ000056095</t>
  </si>
  <si>
    <t>Линейка многофункциональная с уровнем, 300мм</t>
  </si>
  <si>
    <t xml:space="preserve"> Разметочный инструмент</t>
  </si>
  <si>
    <t>УТ000048611</t>
  </si>
  <si>
    <t>Карандаш малярный разметочный LIT (цена за 1шт)</t>
  </si>
  <si>
    <t>УТ000053840</t>
  </si>
  <si>
    <t>Карандаш малярный разметочный X-Pert, 180мм, (упаковка 12шт)</t>
  </si>
  <si>
    <t xml:space="preserve"> Рулетки</t>
  </si>
  <si>
    <t>УТ000053851</t>
  </si>
  <si>
    <t>Рулетка  10м х25мм с трещот.механизмом, усиленный зацеп, X-Pert</t>
  </si>
  <si>
    <t>УТ000058453</t>
  </si>
  <si>
    <t>Рулетка  3м х16мм ударопрочный корпус, усиленный зацеп, X-Pert</t>
  </si>
  <si>
    <t>УТ000048746</t>
  </si>
  <si>
    <t>Рулетка  3м х19мм с трещот.механизмом, усиленный зацеп, X-Pert</t>
  </si>
  <si>
    <t>УТ000058454</t>
  </si>
  <si>
    <t>Рулетка  5м х19мм ударопрочный корпус, усиленный зацеп, X-Pert</t>
  </si>
  <si>
    <t>УТ000029051</t>
  </si>
  <si>
    <t>Рулетка  5м х25мм пластиковый ударопрочный корпус, усиленный зацеп, Smartbuy Tools</t>
  </si>
  <si>
    <t>УТ000058455</t>
  </si>
  <si>
    <t>Рулетка  7.5м х25мм ударопрочный корпус, усиленный зацеп, X-Pert</t>
  </si>
  <si>
    <t>УТ000058456</t>
  </si>
  <si>
    <t>Рулетка 10м х25мм ударопрочный корпус, усиленный зацеп, X-Pert</t>
  </si>
  <si>
    <t>УТ000058613</t>
  </si>
  <si>
    <t>Рулетка 3м, 1 фиксатор, обрез.корпус LIT</t>
  </si>
  <si>
    <t>УТ000058614</t>
  </si>
  <si>
    <t>Рулетка 3м, 3 фиксатора, обрез.корпус, магнит LIT</t>
  </si>
  <si>
    <t>УТ000058615</t>
  </si>
  <si>
    <t>Рулетка 5м, 1 фиксатор, обрез.корпус LIT</t>
  </si>
  <si>
    <t>УТ000058617</t>
  </si>
  <si>
    <t>Рулетка 5м, 3 фиксатора, обрез.корпус, магнит LIT</t>
  </si>
  <si>
    <t>УТ000057308</t>
  </si>
  <si>
    <t>Рулетка измерительная Professional, 3мх16мм,прорезиненный корпус,2 фиксатора,магнитный зацеп</t>
  </si>
  <si>
    <t>УТ000057310</t>
  </si>
  <si>
    <t>Рулетка измерительная Professional, 7,5мх25мм,прорезин. корпус,2 фиксатора,магнитный зацеп</t>
  </si>
  <si>
    <t>УТ000056587</t>
  </si>
  <si>
    <t>Рулетка, метр портновский (40)</t>
  </si>
  <si>
    <t xml:space="preserve"> Угольник, штангенциркуль, микрометр</t>
  </si>
  <si>
    <t>00401051820</t>
  </si>
  <si>
    <t>Угольник столярный желтый "MASTER" 250мм 7544</t>
  </si>
  <si>
    <t>00401051821</t>
  </si>
  <si>
    <t>Угольник столярный желтый "MASTER" 300мм 37016</t>
  </si>
  <si>
    <t>УТ000026686</t>
  </si>
  <si>
    <t>Угольник столярный желтый "MASTER" 350мм 30566</t>
  </si>
  <si>
    <t>УТ000057415</t>
  </si>
  <si>
    <t>Угольник столярный желтый "MASTER" 400мм 7547</t>
  </si>
  <si>
    <t>УТ000054993</t>
  </si>
  <si>
    <t>Штангенциркуль механический, металлический, 150мм, пластиковый кейс</t>
  </si>
  <si>
    <t>УТ000016520</t>
  </si>
  <si>
    <t>Штангенциркуль электронный 150мм (в пласт. коробке)</t>
  </si>
  <si>
    <t>УТ000027183</t>
  </si>
  <si>
    <t>Штангенциркуль электронный ST-04 (150мм) OT-INM05</t>
  </si>
  <si>
    <t xml:space="preserve"> Оптические приспособления</t>
  </si>
  <si>
    <t xml:space="preserve"> Бинокли, монокуляры</t>
  </si>
  <si>
    <t>УТ000041188</t>
  </si>
  <si>
    <t>Бинокль 10x, диаметр линз 25мм, дерево</t>
  </si>
  <si>
    <t>УТ000044691</t>
  </si>
  <si>
    <t>Бинокль 10x, диаметр линз 50мм</t>
  </si>
  <si>
    <t>УТ000053760</t>
  </si>
  <si>
    <t>Бинокль 12x30, черный BKN-22</t>
  </si>
  <si>
    <t>УТ000059133</t>
  </si>
  <si>
    <t>Бинокль 12x40, черный BKN-12</t>
  </si>
  <si>
    <t>УТ000059134</t>
  </si>
  <si>
    <t>Бинокль 12x45, черный BKN-14</t>
  </si>
  <si>
    <t>УТ000045783</t>
  </si>
  <si>
    <t>Бинокль 20x, диаметр линз 50мм, 12</t>
  </si>
  <si>
    <t>УТ000053759</t>
  </si>
  <si>
    <t>Бинокль 20x35, черный-зеленый BKN-21</t>
  </si>
  <si>
    <t>УТ000053757</t>
  </si>
  <si>
    <t>Бинокль 20x50, черный BKN-04</t>
  </si>
  <si>
    <t>УТ000058264</t>
  </si>
  <si>
    <t>Бинокль 20x50, черный BKN-15</t>
  </si>
  <si>
    <t>УТ000059135</t>
  </si>
  <si>
    <t>Бинокль 20x50, черный BKN-19</t>
  </si>
  <si>
    <t>УТ000059136</t>
  </si>
  <si>
    <t>Бинокль 20x50, черный BKN-20</t>
  </si>
  <si>
    <t>УТ000059137</t>
  </si>
  <si>
    <t>Бинокль 20x50, черный BKN-33</t>
  </si>
  <si>
    <t>УТ000041185</t>
  </si>
  <si>
    <t>Бинокль 8x, диаметр линз 21мм, зеленый</t>
  </si>
  <si>
    <t>УТ000041183</t>
  </si>
  <si>
    <t>Бинокль 8x, диаметр линз 22мм, белый</t>
  </si>
  <si>
    <t>УТ000045077</t>
  </si>
  <si>
    <t>Бинокль 8x, диаметр линз 40мм</t>
  </si>
  <si>
    <t>УТ000045078</t>
  </si>
  <si>
    <t>УТ000053762</t>
  </si>
  <si>
    <t>Бинокль 8x21, черный BKN-24</t>
  </si>
  <si>
    <t>УТ000054612</t>
  </si>
  <si>
    <t>Бинокль 8x30, черный BKN-26</t>
  </si>
  <si>
    <t>УТ000043152</t>
  </si>
  <si>
    <t>Бинокль OT-TRB07 (10x 42mm)</t>
  </si>
  <si>
    <t xml:space="preserve"> Лупы налобные</t>
  </si>
  <si>
    <t>УТ000018713</t>
  </si>
  <si>
    <t>Лупа налобная MG81001B2 (ув.1,7-4.0х, с подсвет.) OT-INL07</t>
  </si>
  <si>
    <t>УТ000018711</t>
  </si>
  <si>
    <t>Лупа налобная MG81001G (ув.1,5-3,5х, с подсвет.) OT-INL08</t>
  </si>
  <si>
    <t>УТ000018712</t>
  </si>
  <si>
    <t>Лупа налобная MG81001H (ув.1,5-3,5х, с подсвет.) OT-INL09</t>
  </si>
  <si>
    <t>00410051645</t>
  </si>
  <si>
    <t>Лупа налобная MG81002 OT-INL11 (4 насадки: ув.1.2х, 1.8х, 2.5х, 3,5х; подсветка 1Led) (Китай)</t>
  </si>
  <si>
    <t>УТ000018714</t>
  </si>
  <si>
    <t>Лупа налобная MG81007-A (ув.1,5-7х, с подсвет.) OT-INL12</t>
  </si>
  <si>
    <t>УТ000028423</t>
  </si>
  <si>
    <t>Лупа налобная MG82000M (OT-INL64)</t>
  </si>
  <si>
    <t>УТ000030736</t>
  </si>
  <si>
    <t>Лупа-очки Bigvision</t>
  </si>
  <si>
    <t>00410059563</t>
  </si>
  <si>
    <t>Лупа-очки MG-9892B (5 насадок: ув.1.0х, 1.5х, 2.0x, 2.5х, 3.5х; подсветка 2Led) OT-INL59</t>
  </si>
  <si>
    <t>УТ000029266</t>
  </si>
  <si>
    <t>Лупа-очки MG-9892BP (5 насадок: ув.1.0х, 1.5х, 2.0x, 2.5х, 3.5х; подсветка 2Led) OT-INL34</t>
  </si>
  <si>
    <t>УТ000018721</t>
  </si>
  <si>
    <t>Лупа-очки MG-9892GJ OT-INL57</t>
  </si>
  <si>
    <t>УТ000028424</t>
  </si>
  <si>
    <t>Лупа-очки MG-9892H-1 OT-INL58</t>
  </si>
  <si>
    <t>УТ000044126</t>
  </si>
  <si>
    <t>Лупа-очки OT-INL68  1.5x , 2.0x, 2.5x.</t>
  </si>
  <si>
    <t>УТ000029267</t>
  </si>
  <si>
    <t>Лупа-очки TH-9201 OT-INL36</t>
  </si>
  <si>
    <t>УТ000046326</t>
  </si>
  <si>
    <t>Очки-лупа, увеличительные OT-INL75 (+1,5) застёжка - магнит, черные</t>
  </si>
  <si>
    <t>УТ000056556</t>
  </si>
  <si>
    <t>Очки-лупа, увеличительные OT-INL84 (+2,5, 1.3х) черные</t>
  </si>
  <si>
    <t>УТ000056557</t>
  </si>
  <si>
    <t>Очки-лупа, увеличительные OT-INL84 (+3,5, 1.8х) черные</t>
  </si>
  <si>
    <t xml:space="preserve"> Лупы настольные</t>
  </si>
  <si>
    <t>УТ000018718</t>
  </si>
  <si>
    <t>Лупа настольная MG-4B-5 (ув.2х, настольная 9см) OT-INL50</t>
  </si>
  <si>
    <t>УТ000018719</t>
  </si>
  <si>
    <t>Лупа настольная MG-4B-8 (ув.6х, настольная 9см) OT-INL13</t>
  </si>
  <si>
    <t>УТ000018715</t>
  </si>
  <si>
    <t>Лупа настольная MG15122-2B (ув.2х? настольная 10.5см) OT-INL38</t>
  </si>
  <si>
    <t>УТ000036920</t>
  </si>
  <si>
    <t>Лупа настольная TH-7028B</t>
  </si>
  <si>
    <t>УТ000056559</t>
  </si>
  <si>
    <t>Лупа настольная Орбита (ув. 10х, подсветка) OT-INL89 Черная</t>
  </si>
  <si>
    <t>УТ000056558</t>
  </si>
  <si>
    <t>Лупа настольная Орбита (ув.2/6х, подсветка) OT-INL86</t>
  </si>
  <si>
    <t xml:space="preserve"> Лупы ручные</t>
  </si>
  <si>
    <t>УТ000052638</t>
  </si>
  <si>
    <t>Лупа ручная круглая  DT7673 «Soft Touch», прорезиненный крпус, 5Х, Ø60мм</t>
  </si>
  <si>
    <t>УТ000055454</t>
  </si>
  <si>
    <t>Лупа ручная круглая d107, 10х, 12 LED, DT7670</t>
  </si>
  <si>
    <t>УТ000052641</t>
  </si>
  <si>
    <t>Лупа ручная круглая MG89075, ABSпластик+стекло, 2лупы, 3Х, Ø50мм</t>
  </si>
  <si>
    <t>УТ000052546</t>
  </si>
  <si>
    <t>Лупа ручная круглая сувенирная MAGNIFIER L90, ABSпластик+стекло, 5Х, Ø100мм</t>
  </si>
  <si>
    <t>УТ000052545</t>
  </si>
  <si>
    <t>Лупа ручная круглая сувенирная MAGNIFIER L90, ABSпластик+стекло, 5Х, Ø90мм</t>
  </si>
  <si>
    <t>УТ000031971</t>
  </si>
  <si>
    <t>Лупа с ручкой FS75RC OT-INL18</t>
  </si>
  <si>
    <t>УТ000009841</t>
  </si>
  <si>
    <t>Лупа с ручкой и подсветкой MG-NO 9986E (увел.1,8/5, круглая) OT-INL25</t>
  </si>
  <si>
    <t>УТ000010056</t>
  </si>
  <si>
    <t>Лупа с ручкой КАРТА d50 круглая</t>
  </si>
  <si>
    <t xml:space="preserve"> Лупы складные</t>
  </si>
  <si>
    <t>УТ000052659</t>
  </si>
  <si>
    <t>Лупа складная круглая DONG FA пластик+стекл. линза, 2,5Х, D50мм</t>
  </si>
  <si>
    <t>УТ000052646</t>
  </si>
  <si>
    <t>Лупа складная круглая POCKET SPIEGEL, ABSпластик+стекло, 3Х, Ø60мм</t>
  </si>
  <si>
    <t xml:space="preserve"> Лупы часовые</t>
  </si>
  <si>
    <t>УТ000056094</t>
  </si>
  <si>
    <t>Лупа часовая, увеличение х20 ЕМT0-120</t>
  </si>
  <si>
    <t xml:space="preserve"> Микроскопы, эндоскопы</t>
  </si>
  <si>
    <t>УТ000035845</t>
  </si>
  <si>
    <t>Цифровой USB микроскоп 1000х увел., разрешение видео 800x600, 30 к/с, подставка на присоске</t>
  </si>
  <si>
    <t>УТ000017232</t>
  </si>
  <si>
    <t>Цифровой USB микроскоп 500х увел., разрешение видео 800x600, 30 к/с, подставка металл</t>
  </si>
  <si>
    <t>УТ000045075</t>
  </si>
  <si>
    <t>Эндоскоп USB для смартфонов OT-SME12 (1280x720, 1m)</t>
  </si>
  <si>
    <t>УТ000045076</t>
  </si>
  <si>
    <t>Эндоскоп USB для смартфонов OT-SME12 (1280x720, 2m)</t>
  </si>
  <si>
    <t>УТ000046336</t>
  </si>
  <si>
    <t>Эндоскоп USB для смартфонов OT-SME12 (1280x720, 5m)</t>
  </si>
  <si>
    <t xml:space="preserve"> Паяльный инструмент и принадлежности</t>
  </si>
  <si>
    <t xml:space="preserve"> Макетные платы, стеклотекстолит</t>
  </si>
  <si>
    <t>УТ000056656</t>
  </si>
  <si>
    <t>Гетинакс фольгированный односторонний 1.5мм 50х100мм  FR1-1</t>
  </si>
  <si>
    <t>УТ000025495</t>
  </si>
  <si>
    <t>Макетная перемычка, гнездо-гнездо, комплект 40шт</t>
  </si>
  <si>
    <t>УТ000048810</t>
  </si>
  <si>
    <t>Макетная плата для монтажа без пайки 165х55х10мм, 830 точек шаг 2,54мм</t>
  </si>
  <si>
    <t>УТ000011595</t>
  </si>
  <si>
    <t>Макетная плата для монтажа без пайки 82х53х10мм, 400 точек шаг 2,54мм</t>
  </si>
  <si>
    <t>УТ000056658</t>
  </si>
  <si>
    <t>Стеклотекстолит двусторонний 1.5мм 50х100мм FR4-2</t>
  </si>
  <si>
    <t>УТ000056657</t>
  </si>
  <si>
    <t>Стеклотекстолит односторонний  1.5мм 100х150мм FR4-1</t>
  </si>
  <si>
    <t>УТ000056655</t>
  </si>
  <si>
    <t>Текстолит односторонний 1.5мм 100х100мм FR1-1</t>
  </si>
  <si>
    <t xml:space="preserve"> Материалы для пайки</t>
  </si>
  <si>
    <t xml:space="preserve"> Очищающие средства, оплетка для выпайки</t>
  </si>
  <si>
    <t>УТ000015340</t>
  </si>
  <si>
    <t>Аэрозоль для охлаждения  до -45 Rexant FREEZER 400мл</t>
  </si>
  <si>
    <t>УТ000054368</t>
  </si>
  <si>
    <t>Губка для очистки паяльного жала, 35 x 45 мм, желтая</t>
  </si>
  <si>
    <t>УТ000054367</t>
  </si>
  <si>
    <t>Губка для очистки паяльного жала, 35 x 45 мм, синяя</t>
  </si>
  <si>
    <t>УТ000054370</t>
  </si>
  <si>
    <t>Губка для очистки паяльного жала, 60 x 60 мм, желтая</t>
  </si>
  <si>
    <t>УТ000054369</t>
  </si>
  <si>
    <t>Губка для очистки паяльного жала, 60 x 60 мм, синяя</t>
  </si>
  <si>
    <t>УТ000027614</t>
  </si>
  <si>
    <t>Иглы для демонтажа электронных компонентов, 8 предметов, 0.8-2.0мм</t>
  </si>
  <si>
    <t>УТ000054315</t>
  </si>
  <si>
    <t>Оплетка для  удаления припоя 2мм, длина 1.5м</t>
  </si>
  <si>
    <t>УТ000054317</t>
  </si>
  <si>
    <t>Оплетка для  удаления припоя 3мм, длина 1.5м</t>
  </si>
  <si>
    <t>УТ000049061</t>
  </si>
  <si>
    <t>Оплетка для выпайки, медная лента для удаления припоя 1мм, длина 1.5м, ZD-180</t>
  </si>
  <si>
    <t>УТ000050033</t>
  </si>
  <si>
    <t>Оплетка для выпайки, медная лента для удаления припоя 2мм, длина 1.5м , ZD-180</t>
  </si>
  <si>
    <t>УТ000049062</t>
  </si>
  <si>
    <t>Оплетка для выпайки, медная лента для удаления припоя 3мм, длина 1.5м,  ZD-180</t>
  </si>
  <si>
    <t xml:space="preserve"> Припои без флюса</t>
  </si>
  <si>
    <t>УТ000010882</t>
  </si>
  <si>
    <t>Припой 8мм , 175гр., L-400мм, ПОС-40, пруток 12745</t>
  </si>
  <si>
    <t>УТ000010942</t>
  </si>
  <si>
    <t>Припой 8мм , 190гр., L-400мм, ПОС-30, пруток 337681</t>
  </si>
  <si>
    <t>УТ000055918</t>
  </si>
  <si>
    <t>Припой Спиралька ПОС-61, 20гр.</t>
  </si>
  <si>
    <t xml:space="preserve"> Припои с флюсом</t>
  </si>
  <si>
    <t>УТ000035380</t>
  </si>
  <si>
    <t>Припой с канифолью 1,0мм , 10гр., ПОС-30, колба  Rexant 09-3099</t>
  </si>
  <si>
    <t>УТ000035381</t>
  </si>
  <si>
    <t>Припой с канифолью 1,0мм , 10гр., ПОС-40, колба  Rexant 09-3100</t>
  </si>
  <si>
    <t>УТ000035382</t>
  </si>
  <si>
    <t>Припой с канифолью 1,0мм , 10гр., ПОС-90, колба  Rexant 09-3102</t>
  </si>
  <si>
    <t>УТ000055922</t>
  </si>
  <si>
    <t>Припой с канифолью ПОС-60, 15гр.</t>
  </si>
  <si>
    <t>УТ000055923</t>
  </si>
  <si>
    <t>Припой с канифолью ПОС-60, 20гр.</t>
  </si>
  <si>
    <t>УТ000058001</t>
  </si>
  <si>
    <t>Припой с канифолью ПОС-60, 25гр.</t>
  </si>
  <si>
    <t>УТ000055924</t>
  </si>
  <si>
    <t>Припой с канифолью ПОС-61, 15гр.</t>
  </si>
  <si>
    <t>УТ000055925</t>
  </si>
  <si>
    <t>Припой с канифолью ПОС-61, 25гр.</t>
  </si>
  <si>
    <t>УТ000055919</t>
  </si>
  <si>
    <t>Припой с канифолью Спиралька ПОС-61, 10гр.</t>
  </si>
  <si>
    <t>УТ000055920</t>
  </si>
  <si>
    <t>Припой с канифолью Спиралька ПОС-61, 20гр.</t>
  </si>
  <si>
    <t>00410055739</t>
  </si>
  <si>
    <t>Сплав Вуда 50г, температура плавления 60°С</t>
  </si>
  <si>
    <t>УТ000052089</t>
  </si>
  <si>
    <t>Сплав Розе 50г, температура плавления 95°С Connector</t>
  </si>
  <si>
    <t xml:space="preserve"> Флюс для аллюминия</t>
  </si>
  <si>
    <t>УТ000052091</t>
  </si>
  <si>
    <t>Флюс для алюминия Ф-64 15мл Connector</t>
  </si>
  <si>
    <t>УТ000025827</t>
  </si>
  <si>
    <t>Флюс для алюминия Ф-64 20мл с кисточкой  Connector</t>
  </si>
  <si>
    <t>УТ000014818</t>
  </si>
  <si>
    <t>Флюс для алюминия Ф-64 25мл Connector</t>
  </si>
  <si>
    <t>УТ000052098</t>
  </si>
  <si>
    <t>Флюс для пайки Ф-34А 25мл Connector</t>
  </si>
  <si>
    <t xml:space="preserve"> Флюсы Бура</t>
  </si>
  <si>
    <t>УТ000052083</t>
  </si>
  <si>
    <t>Флюс для пайки БУРА 100г Connector</t>
  </si>
  <si>
    <t>УТ000052084</t>
  </si>
  <si>
    <t>Флюс для пайки БУРА 250г Connector</t>
  </si>
  <si>
    <t xml:space="preserve"> Флюсы гели, паяльный жир, паяльные пасты</t>
  </si>
  <si>
    <t>УТ000058192</t>
  </si>
  <si>
    <t>Поршень для выдавливания флюса или паяльной пасты из тубы DREAM SC03</t>
  </si>
  <si>
    <t>УТ000045338</t>
  </si>
  <si>
    <t>Флюс гель для SMD компонентов, Amtech NC-559-ASM, 10мл DREAM</t>
  </si>
  <si>
    <t>УТ000054313</t>
  </si>
  <si>
    <t>Флюс гель для пайки Amtech RMA-223 10мл, игла дозатор и толкатель в комплекте</t>
  </si>
  <si>
    <t>УТ000023539</t>
  </si>
  <si>
    <t>Флюс гель для пайки Amtech RMA-223, подходит для SMD/BGA компонентов, 10мл</t>
  </si>
  <si>
    <t xml:space="preserve"> Флюсы на основе глицерина</t>
  </si>
  <si>
    <t>УТ000057998</t>
  </si>
  <si>
    <t>Глицерин гидразиновый флюс 100мл Connector</t>
  </si>
  <si>
    <t>УТ000057996</t>
  </si>
  <si>
    <t>Глицерин гидразиновый флюс 15мл Connector</t>
  </si>
  <si>
    <t>УТ000057997</t>
  </si>
  <si>
    <t>Глицерин гидразиновый флюс 50мл Connector</t>
  </si>
  <si>
    <t xml:space="preserve"> Флюсы на основе канифоли</t>
  </si>
  <si>
    <t>УТ000025802</t>
  </si>
  <si>
    <t>Канифоль жидкая 20г с кисточкой Connector</t>
  </si>
  <si>
    <t>УТ000025800</t>
  </si>
  <si>
    <t>Канифоль жидкая 20мл с кисточкой Lux Connector</t>
  </si>
  <si>
    <t>УТ000025803</t>
  </si>
  <si>
    <t>Канифоль жидкая 25мл Lux Connector</t>
  </si>
  <si>
    <t>УТ000025808</t>
  </si>
  <si>
    <t>Канифоль сосновая 20гр (класс А) в банночке Connector</t>
  </si>
  <si>
    <t>00410055716</t>
  </si>
  <si>
    <t>Канифоль-гель Актив, шприц, блистер Connector</t>
  </si>
  <si>
    <t>УТ000025810</t>
  </si>
  <si>
    <t>Канифоль-гель шприц, блистер Connector</t>
  </si>
  <si>
    <t>УТ000025825</t>
  </si>
  <si>
    <t>Флюс паяльный ЛТИ-120 Lux 20мл с кисточкой (без спирта, водосмывной) Connector</t>
  </si>
  <si>
    <t>00410058271</t>
  </si>
  <si>
    <t>Флюс паяльный ЛТИ-120 Lux флакон 10мл Connector</t>
  </si>
  <si>
    <t>УТ000025826</t>
  </si>
  <si>
    <t>Флюс паяльный ЛТИ-120 Lux флакон 15мл Connector</t>
  </si>
  <si>
    <t>УТ000002942</t>
  </si>
  <si>
    <t>Флюс паяльный ЛТИ-120 Lux флакон 25мл Connector</t>
  </si>
  <si>
    <t>УТ000031821</t>
  </si>
  <si>
    <t>Флюс паяльный ЛТИ-120 Lux флакон 50мл Connector</t>
  </si>
  <si>
    <t xml:space="preserve"> Флюсы на основе кислоты</t>
  </si>
  <si>
    <t>УТ000055914</t>
  </si>
  <si>
    <t>Кислота ортофосфорная 100мл (высокоакт.флюс для пайки) Connector</t>
  </si>
  <si>
    <t>00410051696</t>
  </si>
  <si>
    <t>Кислота ортофосфорная 10мл (высокоакт.флюс для пайки) Connector</t>
  </si>
  <si>
    <t>УТ000025819</t>
  </si>
  <si>
    <t>Кислота ортофосфорная 15мл (высокоакт.флюс для пайки) Connector</t>
  </si>
  <si>
    <t>УТ000025820</t>
  </si>
  <si>
    <t>Кислота ортофосфорная 25мл (высокоакт.флюс для пайки) Connector</t>
  </si>
  <si>
    <t>УТ000058000</t>
  </si>
  <si>
    <t>Кислота ортофосфорная 500мл (высокоакт.флюс для пайки) Connector</t>
  </si>
  <si>
    <t>00410057205</t>
  </si>
  <si>
    <t>Кислота ортофосфорная 50мл.</t>
  </si>
  <si>
    <t>УТ000025817</t>
  </si>
  <si>
    <t>Кислота паяльная   6мл активный флюс для пайки в быту Connector</t>
  </si>
  <si>
    <t>УТ000025812</t>
  </si>
  <si>
    <t>Кислота паяльная  10мл, активный флюс для пайки в быту Connector</t>
  </si>
  <si>
    <t>УТ000025813</t>
  </si>
  <si>
    <t>Кислота паяльная  15мл, активный флюс для пайки в быту Connector</t>
  </si>
  <si>
    <t>УТ000025815</t>
  </si>
  <si>
    <t>Кислота паяльная  25мл, активный флюс для пайки в быту Connector</t>
  </si>
  <si>
    <t>УТ000025816</t>
  </si>
  <si>
    <t>Кислота паяльная  50мл активный флюс для пайки в быту Connector</t>
  </si>
  <si>
    <t>УТ000025811</t>
  </si>
  <si>
    <t>Кислота паяльная 100мл, активный флюс для пайки в быту Connector</t>
  </si>
  <si>
    <t>УТ000008691</t>
  </si>
  <si>
    <t>Флюс для пайки ФИМ 10мл Connector</t>
  </si>
  <si>
    <t>УТ000052094</t>
  </si>
  <si>
    <t>Флюс для пайки ФИМ 15мл Connector</t>
  </si>
  <si>
    <t>УТ000052096</t>
  </si>
  <si>
    <t>Флюс для пайки ФИМ 20мл с кисточкой Connector</t>
  </si>
  <si>
    <t>УТ000052095</t>
  </si>
  <si>
    <t>Флюс для пайки ФИМ 25мл Connector</t>
  </si>
  <si>
    <t xml:space="preserve"> Материалы для производства печатных плат</t>
  </si>
  <si>
    <t>УТ000058672</t>
  </si>
  <si>
    <t>Набор микросверел для печатной платы 0,1-1мм, хвостовик 3,175мм, карбид-вольфрамовая сталь, 10шт</t>
  </si>
  <si>
    <t>УТ000056096</t>
  </si>
  <si>
    <t>Набор микросверел для печатной платы 0,3-1,2мм, хвостовик 3,175мм, карбид-вольфрамовая сталь, 10шт</t>
  </si>
  <si>
    <t>УТ000050203</t>
  </si>
  <si>
    <t>Набор микросверел для печатной платы 0,6-1,5мм, хвостовик 3,175мм, карбид-вольфрамовая сталь, 10шт SX30E</t>
  </si>
  <si>
    <t>УТ000048259</t>
  </si>
  <si>
    <t>Сверло для печатной платы 1,3мм, хвостовик 3,175мм, карбид-вольфрамовая сталь, SX30E</t>
  </si>
  <si>
    <t>УТ000048260</t>
  </si>
  <si>
    <t>Сверло для печатной платы 1,4мм, хвостовик 3,175мм, карбид-вольфрамовая сталь, SX30E</t>
  </si>
  <si>
    <t>УТ000025828</t>
  </si>
  <si>
    <t>Хлорное железо 100гр Connector</t>
  </si>
  <si>
    <t>УТ000052100</t>
  </si>
  <si>
    <t>Хлорное железо 250гр Connector</t>
  </si>
  <si>
    <t xml:space="preserve"> Материалы теплопроводящие</t>
  </si>
  <si>
    <t>УТ000008701</t>
  </si>
  <si>
    <t>Теплопроводящая паста КПТ-8 10г. шприц</t>
  </si>
  <si>
    <t>УТ000000301</t>
  </si>
  <si>
    <t>Теплопроводящая паста КПТ-8 18г. тюбик (25)</t>
  </si>
  <si>
    <t>00410055717</t>
  </si>
  <si>
    <t>Теплопроводящая паста КПТ-8 20г. шприц</t>
  </si>
  <si>
    <t>УТ000057336</t>
  </si>
  <si>
    <t>Термопаста GD-2 3г</t>
  </si>
  <si>
    <t>УТ000057337</t>
  </si>
  <si>
    <t>Термопаста GD007 3г</t>
  </si>
  <si>
    <t>УТ000057338</t>
  </si>
  <si>
    <t>Термопаста GD900 3г</t>
  </si>
  <si>
    <t>УТ000019152</t>
  </si>
  <si>
    <t>Термопаста Halnziye HY-510-20г</t>
  </si>
  <si>
    <t>УТ000041111</t>
  </si>
  <si>
    <t>Термопаста Halnziye HY-610-10г, бочонок</t>
  </si>
  <si>
    <t>УТ000016471</t>
  </si>
  <si>
    <t>Термопаста Halnziye HY-710-15г</t>
  </si>
  <si>
    <t xml:space="preserve"> Оборудование вспомогательное, подставки для паяльников,</t>
  </si>
  <si>
    <t>УТ000054302</t>
  </si>
  <si>
    <t>Коврик антистатический силиконовый для монтажных и ремонтных работ 227x355мм</t>
  </si>
  <si>
    <t>УТ000054303</t>
  </si>
  <si>
    <t>Коврик антистатический силиконовый для монтажных и ремонтных работ 250x350мм</t>
  </si>
  <si>
    <t>УТ000054366</t>
  </si>
  <si>
    <t>Коврик антистатический силиконовый для монтажных и ремонтных работ 300*200мм</t>
  </si>
  <si>
    <t>УТ000053095</t>
  </si>
  <si>
    <t>Коврик антистатический силиконовый для монтажных и ремонтных работ ZD-154-1B</t>
  </si>
  <si>
    <t>00410053269</t>
  </si>
  <si>
    <t>Подставка для паяльника классика, держатель катушки припоя, Джетт SL-1040</t>
  </si>
  <si>
    <t>00410053271</t>
  </si>
  <si>
    <t>Подставка для паяльника прямоугольная, губка для очистки жала, Джетт SL-1041</t>
  </si>
  <si>
    <t xml:space="preserve"> Паяльники, наборы инструментов</t>
  </si>
  <si>
    <t>УТ000018722</t>
  </si>
  <si>
    <t>Набор для пайки PINSUN 810-330 (5 предметов)</t>
  </si>
  <si>
    <t>УТ000018724</t>
  </si>
  <si>
    <t>Набор для пайки PINSUN 810-60 (5 предметов)</t>
  </si>
  <si>
    <t>УТ000018725</t>
  </si>
  <si>
    <t>Набор для пайки PINSUN PS-630 (8 предметов)</t>
  </si>
  <si>
    <t>УТ000018726</t>
  </si>
  <si>
    <t>Набор для пайки PINSUN PS816-640 (8 предметов)</t>
  </si>
  <si>
    <t>УТ000057720</t>
  </si>
  <si>
    <t>Набор для пайки PM-INP31 набор для пайки (24 в 1)</t>
  </si>
  <si>
    <t>УТ000057726</t>
  </si>
  <si>
    <t>Набор для пайки PM-INP37 набор для пайки 60Вт (5 в 1)</t>
  </si>
  <si>
    <t>УТ000018727</t>
  </si>
  <si>
    <t>Электропаяльник  PINSUN PS-660 (8 предметов)</t>
  </si>
  <si>
    <t xml:space="preserve"> Паяльники, пистолетная рукоятка</t>
  </si>
  <si>
    <t>УТ000058450</t>
  </si>
  <si>
    <t>Электропаяльник пистолет 60Вт SPARK LUX SL-129</t>
  </si>
  <si>
    <t xml:space="preserve"> Паяльники, питание 12В, 5В,  USB</t>
  </si>
  <si>
    <t>УТ000031818</t>
  </si>
  <si>
    <t>Электропаяльник S-Line ZD-20A, 8Вт 12В, для пайки SMD компонентов</t>
  </si>
  <si>
    <t>УТ000031819</t>
  </si>
  <si>
    <t>Электропаяльник S-Line ZD-20D, 8Вт на батарейках 3хR3, 4.5V</t>
  </si>
  <si>
    <t xml:space="preserve"> Паяльники, питание 220В долговечное жало</t>
  </si>
  <si>
    <t>УТ000013191</t>
  </si>
  <si>
    <t>Электропаяльник PINSUN 560 60Вт, 220В индикатор питания, жало тип конус</t>
  </si>
  <si>
    <t>УТ000018739</t>
  </si>
  <si>
    <t>Электропаяльник PINSUN 640 40Вт, 220В индикатор питания, жало тип конус</t>
  </si>
  <si>
    <t>УТ000018740</t>
  </si>
  <si>
    <t>Электропаяльник PINSUN 660 60Вт, 220В индикатор питания, жало тип конус</t>
  </si>
  <si>
    <t>УТ000043108</t>
  </si>
  <si>
    <t>Электропаяльник PINSUN PS800-330A, 30Вт, 220В индикатор питания, жало тип конус</t>
  </si>
  <si>
    <t>УТ000043109</t>
  </si>
  <si>
    <t>Электропаяльник PINSUN PS800-340A, 40Вт, 220В индикатор питания, жало тип конус</t>
  </si>
  <si>
    <t>УТ000043110</t>
  </si>
  <si>
    <t>Электропаяльник PINSUN PS800-360A, 60Вт, 220В индикатор питания, жало тип конус</t>
  </si>
  <si>
    <t>УТ000050335</t>
  </si>
  <si>
    <t>Электропаяльник S-Line ZD-23 20Вт 220В  с керам.нагревателем и долговечным Long Life жалом</t>
  </si>
  <si>
    <t>УТ000044615</t>
  </si>
  <si>
    <t>Электропаяльник X-Pert HL017, 100Вт медное жало с долговечным защитным покрытием</t>
  </si>
  <si>
    <t>УТ000052261</t>
  </si>
  <si>
    <t>Электропаяльник, подставка в комплекте 30Вт PINSUN PS-1018</t>
  </si>
  <si>
    <t>УТ000052263</t>
  </si>
  <si>
    <t>Электропаяльник, подставка в комплекте 60Вт PINSUN PS-1018</t>
  </si>
  <si>
    <t xml:space="preserve"> Паяльники, питание 220В медное жало</t>
  </si>
  <si>
    <t>УТ000056598</t>
  </si>
  <si>
    <t>Набор для паяльных работ Термолюкс, паяльник  40Вт</t>
  </si>
  <si>
    <t>УТ000056600</t>
  </si>
  <si>
    <t>Набор для паяльных работ Термолюкс, паяльник  80Вт</t>
  </si>
  <si>
    <t>УТ000056596</t>
  </si>
  <si>
    <t>Набор для паяльных работ Термолюкс, паяльник 100Вт</t>
  </si>
  <si>
    <t>УТ000056499</t>
  </si>
  <si>
    <t>Паяльник электрический 100Вт HL019A</t>
  </si>
  <si>
    <t>УТ000056498</t>
  </si>
  <si>
    <t>Паяльник электрический 200Вт HL019A</t>
  </si>
  <si>
    <t>УТ000056497</t>
  </si>
  <si>
    <t>Паяльник электрический 300Вт HL019A</t>
  </si>
  <si>
    <t>УТ000056496</t>
  </si>
  <si>
    <t>Паяльник электрический 80Вт HL019A</t>
  </si>
  <si>
    <t>УТ000058451</t>
  </si>
  <si>
    <t>Паяльник электрический 80Вт пластиковая ручка, Spark Lux</t>
  </si>
  <si>
    <t>УТ000058071</t>
  </si>
  <si>
    <t>Электропаяльник 100Вт/220В деревянная ручка Spark Lux</t>
  </si>
  <si>
    <t>УТ000058072</t>
  </si>
  <si>
    <t>Электропаяльник 150Вт/220В деревянная ручка Spark Lux</t>
  </si>
  <si>
    <t>УТ000021822</t>
  </si>
  <si>
    <t>Электропаяльник Помощник ПД-100 100Вт/220В деревянная ручка, медное жало, тип-лопатка</t>
  </si>
  <si>
    <t>УТ000021823</t>
  </si>
  <si>
    <t>Электропаяльник Помощник ПД-25 25Вт/220В деревянная ручка, медное жало, тип-лопатка</t>
  </si>
  <si>
    <t>УТ000029269</t>
  </si>
  <si>
    <t>Электропаяльник Помощник ПД-40 40Вт/220В деревянная ручка, медное жало, тип-лопатка</t>
  </si>
  <si>
    <t>УТ000021824</t>
  </si>
  <si>
    <t>Электропаяльник Помощник ПД-80 80Вт/220В деревянная ручка, медное жало, тип-лопатка</t>
  </si>
  <si>
    <t>00000004036</t>
  </si>
  <si>
    <t>Электропаяльник ЭПСН-01-25 25Вт/220В деревянная ручка</t>
  </si>
  <si>
    <t>УТ000027429</t>
  </si>
  <si>
    <t>Электропаяльник ЭПСН-03-100 100Вт/220В деревянная ручка</t>
  </si>
  <si>
    <t>УТ000027430</t>
  </si>
  <si>
    <t>Электропаяльник ЭПСН-03-40 40Вт/220В деревянная ручка</t>
  </si>
  <si>
    <t xml:space="preserve"> Паяльники, с регулировкой температуры</t>
  </si>
  <si>
    <t>УТ000038159</t>
  </si>
  <si>
    <t>Паяльник электрический ZD-715L 80W с выключателем, жало типа конус</t>
  </si>
  <si>
    <t>УТ000022731</t>
  </si>
  <si>
    <t>Электропаяльник Помощник 908 PM-INP02 60Вт/220В, терморегулятор</t>
  </si>
  <si>
    <t>УТ000057716</t>
  </si>
  <si>
    <t>Электропаяльник Помощник PM-INP30 (60Вт, терморегулятор, заземление)</t>
  </si>
  <si>
    <t>УТ000057722</t>
  </si>
  <si>
    <t>Электропаяльник Помощник PM-INP34 (80Вт, терморегулятор)</t>
  </si>
  <si>
    <t>УТ000057723</t>
  </si>
  <si>
    <t>Электропаяльник Помощник PM-INP35 (120Вт, терморегулятор)</t>
  </si>
  <si>
    <t>УТ000057724</t>
  </si>
  <si>
    <t>Электропаяльник Помощник PM-INP35 (60Вт, терморегулятор)</t>
  </si>
  <si>
    <t xml:space="preserve"> Устройства для удаления припоя</t>
  </si>
  <si>
    <t>УТ000053158</t>
  </si>
  <si>
    <t>Устройство для удаления припоя, оловоотсос, антистатический экстрактор</t>
  </si>
  <si>
    <t>УТ000049486</t>
  </si>
  <si>
    <t>Устройство для удаления припоя, оловоотсос, антистатический экстрактор S-Line</t>
  </si>
  <si>
    <t>УТ000052264</t>
  </si>
  <si>
    <t>Устройство для удаления припоя, оловоотсос, металл золото PINSUN PS-807A</t>
  </si>
  <si>
    <t>УТ000053157</t>
  </si>
  <si>
    <t>Устройство для удаления припоя, оловоотсос, металл синий</t>
  </si>
  <si>
    <t>00410053272</t>
  </si>
  <si>
    <t>Устройство для удаления припоя, оловоотсос, металл синий-серебро Джетт</t>
  </si>
  <si>
    <t xml:space="preserve"> Расходные материалы, оснастка для инструмента</t>
  </si>
  <si>
    <t xml:space="preserve"> Ключи, патроны для дрели, шуруповерта</t>
  </si>
  <si>
    <t>УТ000058197</t>
  </si>
  <si>
    <t>Ключ для патрона дрели 13мм MTV, 303-12</t>
  </si>
  <si>
    <t>УТ000042160</t>
  </si>
  <si>
    <t>Ключ для патрона дрели ø13мм, резиновое покрытие X-Pert XP-0220</t>
  </si>
  <si>
    <t>УТ000049464</t>
  </si>
  <si>
    <t>Ключ для патрона дрели ø16мм, резиновое покрытие X-Pert XP-0220</t>
  </si>
  <si>
    <t>УТ000057392</t>
  </si>
  <si>
    <t>Патрон для дрели 13мм (ключ, переходник SDS+) "LIT"</t>
  </si>
  <si>
    <t>УТ000057324</t>
  </si>
  <si>
    <t>Патрон для дрели DRILL CHUCK ключевой, трехкулачковый зажим 1.5-13mm на блистере</t>
  </si>
  <si>
    <t>УТ000047787</t>
  </si>
  <si>
    <t>Патрон кулачковый 0.3-6.5мм, хвостовик 6.35х30мм HEX (1/4), black</t>
  </si>
  <si>
    <t>УТ000035123</t>
  </si>
  <si>
    <t>Патрон кулачковый мини 0,3 мм-3,5мм на вал двигателя Ø2,35мм</t>
  </si>
  <si>
    <t>УТ000035120</t>
  </si>
  <si>
    <t>Патрон кулачковый мини 0,3 мм-3,5мм на вал двигателя Ø3,17мм</t>
  </si>
  <si>
    <t>УТ000050205</t>
  </si>
  <si>
    <t>Патрон кулачковый мини 0,75мм-2,0мм для дрели M7 MCM7</t>
  </si>
  <si>
    <t>УТ000057393</t>
  </si>
  <si>
    <t>Патрон самозажимной для дрели и шуруповерта 13мм "MTV BAJGE"</t>
  </si>
  <si>
    <t>УТ000042381</t>
  </si>
  <si>
    <t>Патрон цанговый с набором цанг 0.5-3.0мм вал 2,35мм</t>
  </si>
  <si>
    <t>УТ000042382</t>
  </si>
  <si>
    <t>Патрон цанговый с набором цанг 0.5-3.0мм вал 3,17мм</t>
  </si>
  <si>
    <t>УТ000054384</t>
  </si>
  <si>
    <t>Патрон цанговый с набором цанг 0.5-3.0мм вал 5мм</t>
  </si>
  <si>
    <t xml:space="preserve"> Насадки для шлифовально-гравировальной машины</t>
  </si>
  <si>
    <t xml:space="preserve"> Круги отрезные, пильные диски</t>
  </si>
  <si>
    <t>УТ000054373</t>
  </si>
  <si>
    <t>Держатель отрезных дисков, оснастка гравера (бормашины), хвостовик Ø2,35мм, длина 35мм</t>
  </si>
  <si>
    <t>УТ000054376</t>
  </si>
  <si>
    <t>Держатель отрезных дисков, оснастка гравера (бормашины), хвостовик Ø3мм, металлическая шайба</t>
  </si>
  <si>
    <t>УТ000022160</t>
  </si>
  <si>
    <t>Набор пильных мини дисков с держателем 6пр., блистер</t>
  </si>
  <si>
    <t>УТ000050937</t>
  </si>
  <si>
    <t>Набор пильных мини дисков с держателем 6пр., в пакете</t>
  </si>
  <si>
    <t xml:space="preserve"> Наборы насадок</t>
  </si>
  <si>
    <t>УТ000050935</t>
  </si>
  <si>
    <t>Набор насадок для граверов и бормашин 105 шт.</t>
  </si>
  <si>
    <t>УТ000050936</t>
  </si>
  <si>
    <t>Набор насадок для граверов и бормашин 12 шт.</t>
  </si>
  <si>
    <t>УТ000054372</t>
  </si>
  <si>
    <t>Набор фрез шарошек по дереву для для гравера 6 шт, хвостовик Ø3,17мм</t>
  </si>
  <si>
    <t>УТ000054259</t>
  </si>
  <si>
    <t>Набор шарошек с алмазным напылением (набор 30шт)</t>
  </si>
  <si>
    <t xml:space="preserve"> Насадки, расходники абразивные, дисковые</t>
  </si>
  <si>
    <t xml:space="preserve"> Диски отрезные алмазные</t>
  </si>
  <si>
    <t>УТ000055630</t>
  </si>
  <si>
    <t>Диск отрезной алмазный "Турбо" 125х22.2мм (сухая и влажная резка, для резки кафеля, кирпича, камня, бетона) KR-90-0121</t>
  </si>
  <si>
    <t>УТ000055629</t>
  </si>
  <si>
    <t>Диск отрезной алмазный "Турбо-волна" 125х22.2мм (сухая и влажная резка, для резки кафеля, кирпича, камня, бетона) KR-90-0131</t>
  </si>
  <si>
    <t xml:space="preserve"> Диски отрезные по металлу</t>
  </si>
  <si>
    <t>УТ000055632</t>
  </si>
  <si>
    <t>Диск отрезной по металлу 125*1,0*22 KR-90-0912</t>
  </si>
  <si>
    <t>УТ000055633</t>
  </si>
  <si>
    <t>Диск отрезной по металлу 125*1,2*22 KR-90-0913</t>
  </si>
  <si>
    <t>УТ000055635</t>
  </si>
  <si>
    <t>Диск отрезной по металлу 180*1,6*22 KR-90-0932</t>
  </si>
  <si>
    <t xml:space="preserve"> Корщетки дисковые</t>
  </si>
  <si>
    <t>УТ000052512</t>
  </si>
  <si>
    <t>Набор щеток для дрели 5шт, LIT</t>
  </si>
  <si>
    <t>УТ000052760</t>
  </si>
  <si>
    <t>Щетки для УШМ (чашка)  50мм/М14 круч.сталь №2,5</t>
  </si>
  <si>
    <t>УТ000052761</t>
  </si>
  <si>
    <t>Щетки для УШМ (чашка)  50мм/М14 латунь №2,5</t>
  </si>
  <si>
    <t>УТ000053652</t>
  </si>
  <si>
    <t>Щетки для УШМ (чашка)  75мм/М14 круч.сталь №3</t>
  </si>
  <si>
    <t>УТ000053653</t>
  </si>
  <si>
    <t>Щетки для УШМ (чашка)  75мм/М14 латунь №3</t>
  </si>
  <si>
    <t>УТ000054557</t>
  </si>
  <si>
    <t>Щетки для УШМ (чашка) 100мм/М14 круч.сталь №4</t>
  </si>
  <si>
    <t xml:space="preserve"> Круги торцевые, абразивные с липучкой</t>
  </si>
  <si>
    <t>УТ000026643</t>
  </si>
  <si>
    <t>Абразивная бумага (липучка) d=125мм P100 упак.100шт.</t>
  </si>
  <si>
    <t>УТ000026645</t>
  </si>
  <si>
    <t>Абразивная бумага (липучка) d=125мм P40 (100)</t>
  </si>
  <si>
    <t>УТ000026646</t>
  </si>
  <si>
    <t>Абразивная бумага (липучка) d=125мм P60 (100)</t>
  </si>
  <si>
    <t>УТ000026647</t>
  </si>
  <si>
    <t>Абразивная бумага (липучка) d=125мм P80 (100)</t>
  </si>
  <si>
    <t>УТ000054834</t>
  </si>
  <si>
    <t>Абразивная бумага (липучка) с отверстиями d=125мм P100 (50)</t>
  </si>
  <si>
    <t xml:space="preserve"> Круги торцевые, опорные с липучкой</t>
  </si>
  <si>
    <t>УТ000056335</t>
  </si>
  <si>
    <t>Диск опорный с липучкой Ø115мм, X-PERT, в пакете XP-BP115</t>
  </si>
  <si>
    <t>УТ000026666</t>
  </si>
  <si>
    <t>Диск опорный с липучкой Ø125мм, желтый, 41664</t>
  </si>
  <si>
    <t>УТ000026667</t>
  </si>
  <si>
    <t>Диск опорный с липучкой Ø125мм, красный, 47457</t>
  </si>
  <si>
    <t>УТ000056969</t>
  </si>
  <si>
    <t>Диск опорный с липучкой Ø125мм, переходник М14, инд.упак, XP-0245</t>
  </si>
  <si>
    <t>УТ000056970</t>
  </si>
  <si>
    <t>Диск опорный с липучкой Ø150мм</t>
  </si>
  <si>
    <t>УТ000056971</t>
  </si>
  <si>
    <t>Диск опорный с липучкой Ø180мм</t>
  </si>
  <si>
    <t>УТ000056336</t>
  </si>
  <si>
    <t>Диск опорный с липучкой Ø180мм, X-PERT, в пакете (56971) XP-BP180</t>
  </si>
  <si>
    <t xml:space="preserve"> Полотна для эл.лобзика</t>
  </si>
  <si>
    <t>УТ000054260</t>
  </si>
  <si>
    <t>Пилки для эл. лобзика T101AO фигурный чистый рез по дереву, полотно 83мм LIT (5шт/упак), цена за блистер</t>
  </si>
  <si>
    <t>УТ000054261</t>
  </si>
  <si>
    <t>Пилки для эл. лобзика T118A чистый рез по металлу, полотно 77мм, LIT (5шт/упак), цена за блистер</t>
  </si>
  <si>
    <t>УТ000054262</t>
  </si>
  <si>
    <t>Пилки для эл. лобзика T144D прямой быстрый рез по дереву, полотно 100мм LIT (5шт/упак) цена за блистер</t>
  </si>
  <si>
    <t>УТ000054263</t>
  </si>
  <si>
    <t>Пилки для эл.лобзика T244D фигурный быстрый рез по дереву, полотно 100мм LIT (5шт/упак), цена за блистер</t>
  </si>
  <si>
    <t xml:space="preserve"> Резьбонарезной инструмент</t>
  </si>
  <si>
    <t>УТ000031590</t>
  </si>
  <si>
    <t>Набор плашек 8 предметов, размеры плашек М3, М4, М5, М6, М8, М10, М12</t>
  </si>
  <si>
    <t xml:space="preserve"> Сверла по дереву</t>
  </si>
  <si>
    <t>УТ000026671</t>
  </si>
  <si>
    <t>Набор для врезки замков 3пр. (54мм коронка, 22мм сверло) 12985</t>
  </si>
  <si>
    <t>УТ000056328</t>
  </si>
  <si>
    <t>Набор для установки врезных замков X-PERT, 22/54мм, блистер, XPT-5422</t>
  </si>
  <si>
    <t>УТ000057327</t>
  </si>
  <si>
    <t>Набор кольцевых коронок по дереву X-PERT 16 предметов, 19-127мм, в кейсе</t>
  </si>
  <si>
    <t>УТ000057388</t>
  </si>
  <si>
    <t>Набор кольцевых коронок по керамической плитке  33,53,67,73мм "LIT"</t>
  </si>
  <si>
    <t>УТ000022159</t>
  </si>
  <si>
    <t>Набор перьевых свёрл, 6шт. "CROTT" 10-25 мм 3372</t>
  </si>
  <si>
    <t>УТ000051579</t>
  </si>
  <si>
    <t>Набор пил кольцевых в кейсе, 11 предметов, LIT</t>
  </si>
  <si>
    <t>УТ000055445</t>
  </si>
  <si>
    <t>Сверло по дереву 10,0мм Smartbuy SBT-DW-10</t>
  </si>
  <si>
    <t>УТ000055446</t>
  </si>
  <si>
    <t>Сверло по дереву 12,0мм Smartbuy SBT-DW-12</t>
  </si>
  <si>
    <t>УТ000055444</t>
  </si>
  <si>
    <t>Сверло по дереву 8,0мм Smartbuy SBT-DW-8</t>
  </si>
  <si>
    <t>УТ000043013</t>
  </si>
  <si>
    <t>Сверло по дереву SparkLux 40-120mm, регулируемое, двурезцовое</t>
  </si>
  <si>
    <t>УТ000043014</t>
  </si>
  <si>
    <t>Сверло по дереву SparkLux 40-300mm, регулируемое, двурезцовое</t>
  </si>
  <si>
    <t>УТ000054678</t>
  </si>
  <si>
    <t>Сверло по дереву перовое (перьевое), 10*150мм</t>
  </si>
  <si>
    <t>УТ000054679</t>
  </si>
  <si>
    <t>Сверло по дереву перовое (перьевое), 12*150мм</t>
  </si>
  <si>
    <t>УТ000054680</t>
  </si>
  <si>
    <t>Сверло по дереву перовое (перьевое), 14*150мм</t>
  </si>
  <si>
    <t>УТ000046515</t>
  </si>
  <si>
    <t>Сверло по дереву перовое (перьевое), 18*150мм</t>
  </si>
  <si>
    <t xml:space="preserve"> Сверла по кафелю</t>
  </si>
  <si>
    <t>УТ000054062</t>
  </si>
  <si>
    <t>Коронка алмазная по кафелю  6мм, LIT, BL-5, ЦЕНА ЗА ШТУКУ</t>
  </si>
  <si>
    <t>УТ000054063</t>
  </si>
  <si>
    <t>Коронка алмазная по кафелю  8мм, LIT, BL-5, ЦЕНА ЗА ШТУКУ</t>
  </si>
  <si>
    <t>УТ000054060</t>
  </si>
  <si>
    <t>Коронка алмазная по кафелю 10мм, LIT, BL-5, ЦЕНА ЗА ШТУКУ</t>
  </si>
  <si>
    <t>УТ000054061</t>
  </si>
  <si>
    <t>Коронка алмазная по кафелю 12мм, LIT, BL-2, ЦЕНА ЗА ШТУКУ</t>
  </si>
  <si>
    <t>УТ000051684</t>
  </si>
  <si>
    <t>Коронка алмазная по кафелю 45мм, Spark Lux</t>
  </si>
  <si>
    <t>УТ000051685</t>
  </si>
  <si>
    <t>Коронка алмазная по кафелю 50мм, Spark Lux</t>
  </si>
  <si>
    <t>УТ000051686</t>
  </si>
  <si>
    <t>Коронка алмазная по кафелю 60мм, Spark Lux</t>
  </si>
  <si>
    <t>УТ000054364</t>
  </si>
  <si>
    <t>Коронка алмазная по кафелю 65мм, Spark Lux</t>
  </si>
  <si>
    <t>УТ000054365</t>
  </si>
  <si>
    <t>Коронка алмазная по кафелю 70мм, Spark Lux</t>
  </si>
  <si>
    <t>УТ000051690</t>
  </si>
  <si>
    <t>Коронка алмазная по кафелю 85мм, Spark Lux</t>
  </si>
  <si>
    <t>УТ000057394</t>
  </si>
  <si>
    <t>Сверло по стеклу и кафелю,  6мм, LIT</t>
  </si>
  <si>
    <t>УТ000048750</t>
  </si>
  <si>
    <t>Сверло по стеклу и кафелю,  6мм, X-Pert</t>
  </si>
  <si>
    <t>УТ000054551</t>
  </si>
  <si>
    <t>Сверло по стеклу и кафелю,  8мм, LIT</t>
  </si>
  <si>
    <t>УТ000048752</t>
  </si>
  <si>
    <t>Сверло по стеклу и кафелю,  8мм, X-Pert DX8310</t>
  </si>
  <si>
    <t>УТ000054550</t>
  </si>
  <si>
    <t>Сверло по стеклу и кафелю, 10мм, LIT</t>
  </si>
  <si>
    <t>УТ000058079</t>
  </si>
  <si>
    <t>Сверло по стеклу и кафелю, 10мм, X-Pert DX-8380</t>
  </si>
  <si>
    <t xml:space="preserve"> Сверла по металлу</t>
  </si>
  <si>
    <t>УТ000054882</t>
  </si>
  <si>
    <t>Набор сверл по металлу 1-10мм, 19шт в кейсе LIT № 181733, 56359, 183350</t>
  </si>
  <si>
    <t>УТ000045636</t>
  </si>
  <si>
    <t>Набор сверл по металлу X-Pert (1,5-6,5мм, с шагом 0,2-0,5мм, 13шт в кейсе)</t>
  </si>
  <si>
    <t>УТ000047626</t>
  </si>
  <si>
    <t>Набор сверл по металлу X-Pert (1-10мм, с шагом 1мм, 10шт в кейсе)</t>
  </si>
  <si>
    <t>УТ000054668</t>
  </si>
  <si>
    <t>Сверло по металлу 1,5мм X-PERTна блистере</t>
  </si>
  <si>
    <t>УТ000054676</t>
  </si>
  <si>
    <t>Сверло по металлу 10мм X-PERTна блистере</t>
  </si>
  <si>
    <t>УТ000054677</t>
  </si>
  <si>
    <t>Сверло по металлу 12мм X-PERTна блистере</t>
  </si>
  <si>
    <t>УТ000054674</t>
  </si>
  <si>
    <t>Сверло по металлу 7мм X-PERTна блистере</t>
  </si>
  <si>
    <t>УТ000055449</t>
  </si>
  <si>
    <t>Сверло по металлу 8,0мм Smartbuy SBT-DM-8</t>
  </si>
  <si>
    <t>УТ000054675</t>
  </si>
  <si>
    <t>Сверло по металлу 8мм X-PERTна блистере</t>
  </si>
  <si>
    <t>УТ000057632</t>
  </si>
  <si>
    <t>Сверло по металлу 9мм X-PERTна блистере</t>
  </si>
  <si>
    <t>УТ000055447</t>
  </si>
  <si>
    <t>Сверло по металу 12,0мм Smartbuy SBT-DM-12</t>
  </si>
  <si>
    <t xml:space="preserve"> Сверла ступенчатые</t>
  </si>
  <si>
    <t>УТ000058076</t>
  </si>
  <si>
    <t>Набор сверл (6в1) ступенчатых и зубчатые Ø4-20мм, 4-32мм, 4-12мм,  в боксе синий X-Pert</t>
  </si>
  <si>
    <t>УТ000057315</t>
  </si>
  <si>
    <t>Набор свёрл 6в1 SIB LUX ступенчатые и зубчатые ⌀4-20mm, 4-32mm, 4-12mm, в боксе</t>
  </si>
  <si>
    <t>УТ000058461</t>
  </si>
  <si>
    <t>Набор свёрл 7в1 ступенчатые и зубчатые, в боксе SPARK LUX</t>
  </si>
  <si>
    <t>УТ000058460</t>
  </si>
  <si>
    <t>Набор свёрл 7в1 ступенчатые и зубчатые, в боксе X-PERT</t>
  </si>
  <si>
    <t>УТ000057389</t>
  </si>
  <si>
    <t>Набор ступенчатых сверл по металлу 3 шт 3-12, 4-20, 4-32 мм, HSS сталь, шестигранный хвостовик "LIT"</t>
  </si>
  <si>
    <t>УТ000029296</t>
  </si>
  <si>
    <t>Набор ступенчатых сверл по металлу 3 шт 3-12, 4-20, 4-32 мм, высококачественная HSS сталь, шестигранный хвостовик 46814</t>
  </si>
  <si>
    <t>УТ000057314</t>
  </si>
  <si>
    <t>Сверло ступенчатое WORK ZONE Ø4-12mm, на блистере</t>
  </si>
  <si>
    <t>УТ000036909</t>
  </si>
  <si>
    <t>Сверло ступенчатое по металлу 4-12 мм; шаг 2мм</t>
  </si>
  <si>
    <t>УТ000036369</t>
  </si>
  <si>
    <t>Сверло ступенчатое по металлу 4-12, 4-30мм, HSS-сталь, набор 2шт.</t>
  </si>
  <si>
    <t>УТ000058459</t>
  </si>
  <si>
    <t>Сверло ступенчатое по металлу 4-40мм со спиральной режущей кромкой X-Pert</t>
  </si>
  <si>
    <t>УТ000046516</t>
  </si>
  <si>
    <t>Сверло ступенчатое по металлу Ø4-12мм, шестигранный хвостовик  X-Pert</t>
  </si>
  <si>
    <t>УТ000045633</t>
  </si>
  <si>
    <t>Сверло ступенчатое по металлу Ø4-40мм, HSS 4241,  X-Pert</t>
  </si>
  <si>
    <t xml:space="preserve"> Сверла, буры, коронки, по бетону</t>
  </si>
  <si>
    <t>УТ000058088</t>
  </si>
  <si>
    <t>Бур по бетону усиленный SDS "+"  6х160мм X-Pert в колбе</t>
  </si>
  <si>
    <t>УТ000058099</t>
  </si>
  <si>
    <t>Бур по бетону усиленный SDS "+"  6х350мм X-Pert в колбе</t>
  </si>
  <si>
    <t>УТ000058090</t>
  </si>
  <si>
    <t>Бур по бетону усиленный SDS "+"  8х160мм X-Pert в колбе</t>
  </si>
  <si>
    <t>УТ000058100</t>
  </si>
  <si>
    <t>Бур по бетону усиленный SDS "+"  8х350мм X-Pert в колбе</t>
  </si>
  <si>
    <t>УТ000058092</t>
  </si>
  <si>
    <t>Бур по бетону усиленный SDS "+" 10х160мм X-Pert в колбе</t>
  </si>
  <si>
    <t>УТ000058094</t>
  </si>
  <si>
    <t>Бур по бетону усиленный SDS "+" 12х160мм X-Pert в колбе</t>
  </si>
  <si>
    <t>УТ000058095</t>
  </si>
  <si>
    <t>Бур по бетону усиленный SDS "-"  6х210мм X-Pert в колбе</t>
  </si>
  <si>
    <t>УТ000058096</t>
  </si>
  <si>
    <t>Бур по бетону усиленный SDS "-"  8х210мм X-Pert в колбе</t>
  </si>
  <si>
    <t>УТ000058091</t>
  </si>
  <si>
    <t>Бур по бетону усиленный SDS "-" 10х160мм X-Pert в колбе</t>
  </si>
  <si>
    <t>УТ000058097</t>
  </si>
  <si>
    <t>Бур по бетону усиленный SDS "-" 10х210мм X-Pert в колбе</t>
  </si>
  <si>
    <t>УТ000058101</t>
  </si>
  <si>
    <t>Бур по бетону усиленный SDS "-" 10х350мм X-Pert в колбе</t>
  </si>
  <si>
    <t>УТ000058104</t>
  </si>
  <si>
    <t>Бур по бетону усиленный SDS "-" 10х500мм X-Pert в колбе</t>
  </si>
  <si>
    <t>УТ000058093</t>
  </si>
  <si>
    <t>Бур по бетону усиленный SDS "-" 12х160мм X-Pert в колбе</t>
  </si>
  <si>
    <t>УТ000058102</t>
  </si>
  <si>
    <t>Бур по бетону усиленный SDS "-" 12х350мм X-Pert в колбе</t>
  </si>
  <si>
    <t>УТ000058098</t>
  </si>
  <si>
    <t>Бур по бетону усиленный SDS "-" 14х210мм X-Pert в колбе</t>
  </si>
  <si>
    <t>УТ000058105</t>
  </si>
  <si>
    <t>Бур по бетону усиленный SDS "-" 14х500мм X-Pert в колбе</t>
  </si>
  <si>
    <t>УТ000058103</t>
  </si>
  <si>
    <t>Бур по бетону усиленный SDS "-" 16х350мм X-Pert в колбе</t>
  </si>
  <si>
    <t>УТ000054128</t>
  </si>
  <si>
    <t>Бур по бетону, хвостовик SDS-plus  6х100x160 Smartbuy tools</t>
  </si>
  <si>
    <t>УТ000059062</t>
  </si>
  <si>
    <t>Бур по бетону, хвостовик SDS-plus  6х200x260 Smartbuy tools</t>
  </si>
  <si>
    <t>УТ000059064</t>
  </si>
  <si>
    <t>Бур по бетону, хвостовик SDS-plus  6х40x100 Smartbuy tools</t>
  </si>
  <si>
    <t>УТ000059063</t>
  </si>
  <si>
    <t>Бур по бетону, хвостовик SDS-plus  6х60x120 Smartbuy tools</t>
  </si>
  <si>
    <t>УТ000054129</t>
  </si>
  <si>
    <t>Бур по бетону, хвостовик SDS-plus  8х100x160 Smartbuy tools</t>
  </si>
  <si>
    <t>УТ000059065</t>
  </si>
  <si>
    <t>Бур по бетону, хвостовик SDS-plus  8х200x260 Smartbuy tools</t>
  </si>
  <si>
    <t>УТ000059066</t>
  </si>
  <si>
    <t>Бур по бетону, хвостовик SDS-plus  8х400x460 Smartbuy tools</t>
  </si>
  <si>
    <t>УТ000059067</t>
  </si>
  <si>
    <t>Бур по бетону, хвостовик SDS-plus  8х40x100 Smartbuy tools</t>
  </si>
  <si>
    <t>УТ000059068</t>
  </si>
  <si>
    <t>Бур по бетону, хвостовик SDS-plus  8х60x120 Smartbuy tools</t>
  </si>
  <si>
    <t>УТ000054127</t>
  </si>
  <si>
    <t>Бур по бетону, хвостовик SDS-plus 10х100x160 Smartbuy tools</t>
  </si>
  <si>
    <t>УТ000059052</t>
  </si>
  <si>
    <t>Бур по бетону, хвостовик SDS-plus 10х200x260 Smartbuy tools</t>
  </si>
  <si>
    <t>УТ000059053</t>
  </si>
  <si>
    <t>Бур по бетону, хвостовик SDS-plus 10х400x460 Smartbuy tools</t>
  </si>
  <si>
    <t>УТ000059054</t>
  </si>
  <si>
    <t>Бур по бетону, хвостовик SDS-plus 10х40x100 Smartbuy tools</t>
  </si>
  <si>
    <t>УТ000059055</t>
  </si>
  <si>
    <t>Бур по бетону, хвостовик SDS-plus 10х600x660 Smartbuy tools</t>
  </si>
  <si>
    <t>УТ000059056</t>
  </si>
  <si>
    <t>Бур по бетону, хвостовик SDS-plus 10х60x120 Smartbuy tools</t>
  </si>
  <si>
    <t>УТ000059057</t>
  </si>
  <si>
    <t>Бур по бетону, хвостовик SDS-plus 12х200x260 Smartbuy tools</t>
  </si>
  <si>
    <t>УТ000059058</t>
  </si>
  <si>
    <t>Бур по бетону, хвостовик SDS-plus 12х400x460 Smartbuy tools</t>
  </si>
  <si>
    <t>УТ000059059</t>
  </si>
  <si>
    <t>Бур по бетону, хвостовик SDS-plus 12х40x100 Smartbuy tools</t>
  </si>
  <si>
    <t>УТ000059060</t>
  </si>
  <si>
    <t>Бур по бетону, хвостовик SDS-plus 12х600x660 Smartbuy tools</t>
  </si>
  <si>
    <t>УТ000059061</t>
  </si>
  <si>
    <t>Бур по бетону, хвостовик SDS-plus 12х60x120 Smartbuy tools</t>
  </si>
  <si>
    <t>УТ000054859</t>
  </si>
  <si>
    <t>Бур по бетону, хвостовик SDS-plus 6х210мм Master</t>
  </si>
  <si>
    <t>УТ000059182</t>
  </si>
  <si>
    <t>Зубило для перфораторов 14/400mm X-PERT</t>
  </si>
  <si>
    <t>УТ000059181</t>
  </si>
  <si>
    <t>Зубило пикообразное для перфораторов 14/250mm X-PERT</t>
  </si>
  <si>
    <t>УТ000059179</t>
  </si>
  <si>
    <t>Зубило пикообразное для перфораторов 14/400mm X-PERT</t>
  </si>
  <si>
    <t>УТ000057384</t>
  </si>
  <si>
    <t>Керн-пика SDS+ 14х250мм LIT</t>
  </si>
  <si>
    <t>УТ000056330</t>
  </si>
  <si>
    <t>Коронка буровая по бетону Ø30mm, в пластик. упаковке  X-PERT</t>
  </si>
  <si>
    <t>УТ000056331</t>
  </si>
  <si>
    <t>Коронка буровая по бетону Ø40mm, в пластик. упаковке  X-PERT</t>
  </si>
  <si>
    <t>УТ000056332</t>
  </si>
  <si>
    <t>Коронка буровая по бетону Ø60mm, в пластик. упаковке  X-PERT</t>
  </si>
  <si>
    <t>УТ000056334</t>
  </si>
  <si>
    <t>Коронка буровая по бетону Ø75mm, в пластик. упаковке  SPARK LUX</t>
  </si>
  <si>
    <t>00410053689</t>
  </si>
  <si>
    <t>Коронка буровая, SDS-plus хвостовик, в сборе, 65мм "LIT"</t>
  </si>
  <si>
    <t>УТ000057385</t>
  </si>
  <si>
    <t>Коронка буровая, SDS-plus хвостовик, в сборе, 68мм "LIT"</t>
  </si>
  <si>
    <t xml:space="preserve"> Режущий инструмент</t>
  </si>
  <si>
    <t xml:space="preserve"> Ножи</t>
  </si>
  <si>
    <t xml:space="preserve"> Ножи складные</t>
  </si>
  <si>
    <t>УТ000054878</t>
  </si>
  <si>
    <t>Лезвия для ножа, трапециевидное, 10шт, LIT</t>
  </si>
  <si>
    <t>УТ000049858</t>
  </si>
  <si>
    <t>Нож Патриот (8.5/22.5см) бабочка</t>
  </si>
  <si>
    <t>УТ000049862</t>
  </si>
  <si>
    <t>УТ000049863</t>
  </si>
  <si>
    <t>УТ000049864</t>
  </si>
  <si>
    <t>УТ000049865</t>
  </si>
  <si>
    <t>УТ000049869</t>
  </si>
  <si>
    <t>УТ000049870</t>
  </si>
  <si>
    <t>УТ000049871</t>
  </si>
  <si>
    <t>УТ000049872</t>
  </si>
  <si>
    <t>УТ000012080</t>
  </si>
  <si>
    <t>Нож Патриот (9.5/21.5см) бабочка</t>
  </si>
  <si>
    <t>УТ000049860</t>
  </si>
  <si>
    <t>Нож Патриот (9/22см) бабочка</t>
  </si>
  <si>
    <t>УТ000049859</t>
  </si>
  <si>
    <t>Нож Патриот (9/24см) бабочка</t>
  </si>
  <si>
    <t>УТ000044107</t>
  </si>
  <si>
    <t>Нож Патриот PT-TRK48</t>
  </si>
  <si>
    <t>УТ000053782</t>
  </si>
  <si>
    <t>Нож складной 2003</t>
  </si>
  <si>
    <t>УТ000053784</t>
  </si>
  <si>
    <t>Нож складной 2011</t>
  </si>
  <si>
    <t>УТ000053786</t>
  </si>
  <si>
    <t>Нож складной 2013</t>
  </si>
  <si>
    <t>УТ000053787</t>
  </si>
  <si>
    <t>Нож складной 2016</t>
  </si>
  <si>
    <t>УТ000040223</t>
  </si>
  <si>
    <t>Нож складной 2017</t>
  </si>
  <si>
    <t>УТ000053790</t>
  </si>
  <si>
    <t>Нож складной 2020</t>
  </si>
  <si>
    <t>УТ000053792</t>
  </si>
  <si>
    <t>Нож складной 2022</t>
  </si>
  <si>
    <t>УТ000058592</t>
  </si>
  <si>
    <t>Нож складной D-29 с металлической рукояткой</t>
  </si>
  <si>
    <t>УТ000053776</t>
  </si>
  <si>
    <t>Нож складной GL-08</t>
  </si>
  <si>
    <t>УТ000053779</t>
  </si>
  <si>
    <t>Нож складной H006</t>
  </si>
  <si>
    <t xml:space="preserve"> Ножи строительные, лезвия</t>
  </si>
  <si>
    <t>УТ000041357</t>
  </si>
  <si>
    <t>Лезвия для ножа 18мм, трапециевидное, 10шт, SmartBuy (SBT-SKT-18)</t>
  </si>
  <si>
    <t>УТ000057386</t>
  </si>
  <si>
    <t>Лезвия для ножа технического 18мм 10шт. в боксе  "LIT"</t>
  </si>
  <si>
    <t>УТ000052694</t>
  </si>
  <si>
    <t>Нож для гипсокартона складной 18мм+2 лезвия, с фиксатором положения X-PERT XP-FK1021</t>
  </si>
  <si>
    <t>УТ000058030</t>
  </si>
  <si>
    <t>Нож для гипсокартона складной 18мм+набор лезвий, блистер,  X-PERT DK-818</t>
  </si>
  <si>
    <t>УТ000041359</t>
  </si>
  <si>
    <t>Нож строительный SmartBuy, прорезиненный стальной корпус (SBT-KNT-18P2)</t>
  </si>
  <si>
    <t>УТ000058396</t>
  </si>
  <si>
    <t>Нож технический с выдвижным лезвием 18мм, пластиковый корпус CATENAI BLADE K300</t>
  </si>
  <si>
    <t>УТ000058394</t>
  </si>
  <si>
    <t>Нож технический с выдвижным лезвием 18мм, пластиковый корпус CUTTER KNIFE RX-308</t>
  </si>
  <si>
    <t>УТ000058392</t>
  </si>
  <si>
    <t>Нож технический с выдвижным лезвием 18мм, пластиковый корпус RLINXIN RX-309</t>
  </si>
  <si>
    <t>УТ000057125</t>
  </si>
  <si>
    <t>Строительный нож 9 мм, отлам. лезвие, острый торец, алюм. корпус, Smartbuy Tools/288 SBT-KNB-9P2</t>
  </si>
  <si>
    <t xml:space="preserve"> Скальпели и резаки по дереву</t>
  </si>
  <si>
    <t>УТ000004108</t>
  </si>
  <si>
    <t>Набор резаков скальпелей, комплект фигурных лезвий, 13 предметов, футляр</t>
  </si>
  <si>
    <t>УТ000042385</t>
  </si>
  <si>
    <t>Скальпель для монтажных работ, 5 лезвий в комплекте BS529246</t>
  </si>
  <si>
    <t>УТ000035528</t>
  </si>
  <si>
    <t>Скальпель радиомонтажный PT-INO03</t>
  </si>
  <si>
    <t xml:space="preserve"> Ножницы</t>
  </si>
  <si>
    <t>УТ000058399</t>
  </si>
  <si>
    <t>Ножницы канцелярские 5.5" пластиковые ручки SCISSORS</t>
  </si>
  <si>
    <t>УТ000058400</t>
  </si>
  <si>
    <t>Ножницы канцелярские 6.5" пластиковые ручки SCISSORS</t>
  </si>
  <si>
    <t>УТ000058401</t>
  </si>
  <si>
    <t>Ножницы канцелярские 7.5" пластиковые ручки SCISSORS</t>
  </si>
  <si>
    <t>УТ000058402</t>
  </si>
  <si>
    <t>Ножницы канцелярские 8.5" пластиковые ручки SCISSORS</t>
  </si>
  <si>
    <t>УТ000058403</t>
  </si>
  <si>
    <t>Ножницы канцелярские 9.5" пластиковые ручки SCISSORS</t>
  </si>
  <si>
    <t>УТ000058466</t>
  </si>
  <si>
    <t>Ножницы по металлу 10"/250мм X-PERT XT-0625</t>
  </si>
  <si>
    <t>УТ000058470</t>
  </si>
  <si>
    <t>Ножницы по металлу 10"/250мм прямой рез, пластик.кейс X-PERT</t>
  </si>
  <si>
    <t>УТ000037461</t>
  </si>
  <si>
    <t>Ножницы по металлу 250мм, правые LIT Профи LT-181328</t>
  </si>
  <si>
    <t xml:space="preserve"> Стеклорезы</t>
  </si>
  <si>
    <t>УТ000048207</t>
  </si>
  <si>
    <t>Стеклорез масляный роликовый, 6-12мм</t>
  </si>
  <si>
    <t>УТ000048204</t>
  </si>
  <si>
    <t>Стеклорез с деревяной ручкой, Jobo</t>
  </si>
  <si>
    <t xml:space="preserve"> Шило, дыроколы</t>
  </si>
  <si>
    <t>УТ000057419</t>
  </si>
  <si>
    <t>Дырокол для изделий из кожи, "LIT"</t>
  </si>
  <si>
    <t xml:space="preserve"> Садовый инструмент</t>
  </si>
  <si>
    <t>УТ000058624</t>
  </si>
  <si>
    <t>Секатор "LIT" зеленые ручки</t>
  </si>
  <si>
    <t>УТ000058630</t>
  </si>
  <si>
    <t>Секатор садовый 9" 220мм зелен. ручки LIT ПРОФИ</t>
  </si>
  <si>
    <t>УТ000058629</t>
  </si>
  <si>
    <t>Секатор садовый 9" 25мм LIT ПРОФИ LT-183313</t>
  </si>
  <si>
    <t xml:space="preserve"> Слесарный, монтажный инструмент</t>
  </si>
  <si>
    <t xml:space="preserve"> Абразивные инструменты, материалы</t>
  </si>
  <si>
    <t xml:space="preserve"> Инструменты для заточки, бруски</t>
  </si>
  <si>
    <t>УТ000058554</t>
  </si>
  <si>
    <t>Брусок абразивный "Лодочка" 220мм</t>
  </si>
  <si>
    <t>УТ000053039</t>
  </si>
  <si>
    <t>Брусок абразивный, двухсторонний, 150/6, 19-01-002</t>
  </si>
  <si>
    <t xml:space="preserve"> Надфили</t>
  </si>
  <si>
    <t>УТ000025287</t>
  </si>
  <si>
    <t>Набор надфилей 140мм (10 шт)</t>
  </si>
  <si>
    <t xml:space="preserve"> Напильники, рашпили</t>
  </si>
  <si>
    <t>УТ000049465</t>
  </si>
  <si>
    <t>Набор рашпильных насадок Spark Lux, SL-100 (10шт)</t>
  </si>
  <si>
    <t xml:space="preserve"> Пасты для полировки, ГОИ</t>
  </si>
  <si>
    <t>УТ000056844</t>
  </si>
  <si>
    <t>Паста ГОИ полировальная 30г №1 REXANT</t>
  </si>
  <si>
    <t>00410059407</t>
  </si>
  <si>
    <t>Паста ГОИ полировальная 30г №2 REXANT</t>
  </si>
  <si>
    <t>УТ000056845</t>
  </si>
  <si>
    <t>Паста ГОИ полировальная 30г №3 REXANT</t>
  </si>
  <si>
    <t>УТ000056846</t>
  </si>
  <si>
    <t>Паста ГОИ полировальная 30г №4 REXANT</t>
  </si>
  <si>
    <t xml:space="preserve"> Шлиф. бумага, шкурка</t>
  </si>
  <si>
    <t>УТ000056337</t>
  </si>
  <si>
    <t>Шлифовальный лист 230*280мм P150, X-PERT</t>
  </si>
  <si>
    <t>УТ000056338</t>
  </si>
  <si>
    <t>Шлифовальный лист 230*280мм P180, X-PERT</t>
  </si>
  <si>
    <t>УТ000056339</t>
  </si>
  <si>
    <t>Шлифовальный лист 230*280мм P220, X-PERT</t>
  </si>
  <si>
    <t xml:space="preserve"> Губцевый инструмент</t>
  </si>
  <si>
    <t xml:space="preserve"> Бокорезы, кусачки</t>
  </si>
  <si>
    <t>УТ000057322</t>
  </si>
  <si>
    <t>Бокорезы  X-PERT, 160мм, прорезин. рукоятка, цветные</t>
  </si>
  <si>
    <t>УТ000053857</t>
  </si>
  <si>
    <t>Бокорезы  X-PERT, 175мм, прорезин. рукоятка, цветные</t>
  </si>
  <si>
    <t>УТ000036677</t>
  </si>
  <si>
    <t>Бокорезы 160мм,  2х-комп. рукоятка STAYER</t>
  </si>
  <si>
    <t>УТ000036611</t>
  </si>
  <si>
    <t>Бокорезы 160мм,  Airline AT-DCP-6</t>
  </si>
  <si>
    <t>УТ000036615</t>
  </si>
  <si>
    <t>Бокорезы 200мм Airline AT-DCP-8</t>
  </si>
  <si>
    <t>УТ000057501</t>
  </si>
  <si>
    <t>Бокорезы 90мм, мини, с замком</t>
  </si>
  <si>
    <t>УТ000057406</t>
  </si>
  <si>
    <t>Бокорезы LIT 4.5" mini красно-черная ручка</t>
  </si>
  <si>
    <t>УТ000057407</t>
  </si>
  <si>
    <t>Бокорезы LIT 6" красно-черная ручка</t>
  </si>
  <si>
    <t>УТ000057408</t>
  </si>
  <si>
    <t>Бокорезы LIT 8" красно-черная ручка</t>
  </si>
  <si>
    <t>УТ000053858</t>
  </si>
  <si>
    <t>Кусачки 8-200мм X-Pert</t>
  </si>
  <si>
    <t>УТ000042368</t>
  </si>
  <si>
    <t>Кусачки со стрипером для кабеля AWG 1,6 -3,2 BOSI</t>
  </si>
  <si>
    <t>УТ000049027</t>
  </si>
  <si>
    <t>Кусачки, бокорезы 135мм Smartbuy tools 2-х комп. рукоятка, CR-V сталь, HRC&gt;51</t>
  </si>
  <si>
    <t>УТ000039432</t>
  </si>
  <si>
    <t>Кусачки, бокорезы 200мм Smartbuy tools 2-х комп. рукоятка, CR-V сталь, HRC&gt;51</t>
  </si>
  <si>
    <t xml:space="preserve"> Болторезы</t>
  </si>
  <si>
    <t>УТ000057409</t>
  </si>
  <si>
    <t>Болторез "LIT" MINI 8"/200мм</t>
  </si>
  <si>
    <t>УТ000054230</t>
  </si>
  <si>
    <t>Болторез с прорезиненной ручкой, 200мм, X-PERT MBC201</t>
  </si>
  <si>
    <t xml:space="preserve"> Зажимы с фиксатором</t>
  </si>
  <si>
    <t>00410053664</t>
  </si>
  <si>
    <t>Зажим с фиксатором 5"/145мм XING BO 45969</t>
  </si>
  <si>
    <t>УТ000030692</t>
  </si>
  <si>
    <t>Зажим с фиксатором 7"/190мм XING BO 45970</t>
  </si>
  <si>
    <t>УТ000054693</t>
  </si>
  <si>
    <t>Зажим с фиксатором X-PERT XP-008 ручные тиски</t>
  </si>
  <si>
    <t xml:space="preserve"> Клещи</t>
  </si>
  <si>
    <t>УТ000051031</t>
  </si>
  <si>
    <t>Клещи переставные "LIT" 12"/300мм</t>
  </si>
  <si>
    <t>УТ000042159</t>
  </si>
  <si>
    <t>Клещи переставные с кнопочным фиксатором, 10-250мм, X-Pert</t>
  </si>
  <si>
    <t>УТ000058462</t>
  </si>
  <si>
    <t>Клещи переставные с кнопочным фиксатором, 7-175мм, X-Pert</t>
  </si>
  <si>
    <t>УТ000041627</t>
  </si>
  <si>
    <t>Клещи переставные с кнопочным фиксатором, 8-200мм,Spark Lux</t>
  </si>
  <si>
    <t>УТ000048235</t>
  </si>
  <si>
    <t>Клещи переставные, 10`, X-Pert</t>
  </si>
  <si>
    <t>УТ000036683</t>
  </si>
  <si>
    <t>Клещи переставные, 200мм, диапазон 4-35мм, 2х-комп. рукоятка X-Pert</t>
  </si>
  <si>
    <t>УТ000036684</t>
  </si>
  <si>
    <t>Клещи переставные, 250мм, диапазон 6-40мм, 2х-комп. рукоятка X-Pert</t>
  </si>
  <si>
    <t>УТ000036685</t>
  </si>
  <si>
    <t>Клещи переставные, 300мм, диапазон 12-50мм, 2х-комп. рукоятка X-Pert</t>
  </si>
  <si>
    <t xml:space="preserve"> Кусачки торцевые</t>
  </si>
  <si>
    <t>УТ000035840</t>
  </si>
  <si>
    <t>Кусачки торцевые 100мм, Suxin 112-5</t>
  </si>
  <si>
    <t>УТ000053860</t>
  </si>
  <si>
    <t>Кусачки торцевые удлиненный 9-225мм X-Pert</t>
  </si>
  <si>
    <t xml:space="preserve"> Пассатижи, плоскогубцы</t>
  </si>
  <si>
    <t>УТ000041788</t>
  </si>
  <si>
    <t>Пассатижи комбинированные 160мм полированные AVS A40179S</t>
  </si>
  <si>
    <t>УТ000041789</t>
  </si>
  <si>
    <t>Пассатижи комбинированные 180мм полированные AVS A40180S</t>
  </si>
  <si>
    <t>УТ000041790</t>
  </si>
  <si>
    <t>Пассатижи комбинированные 200мм полированные AVS A40181S</t>
  </si>
  <si>
    <t>УТ000039434</t>
  </si>
  <si>
    <t>Плоскогубцы (пассатижи) 180мм Smartbuy tools 2-х комп. рукоятка, CR-V сталь, комбинированные</t>
  </si>
  <si>
    <t>УТ000053900</t>
  </si>
  <si>
    <t>Плоскогубцы комбинированные 160мм, прорезининовая рукоятка X-Pert</t>
  </si>
  <si>
    <t>УТ000053901</t>
  </si>
  <si>
    <t>Плоскогубцы комбинированные 200мм, прорезининовая рукоятка X-Pert</t>
  </si>
  <si>
    <t>УТ000057328</t>
  </si>
  <si>
    <t>Плоскогубцы комбинированные 8``/ 200мм,  2х-комп. рукоятка Spark Lux SL-N8</t>
  </si>
  <si>
    <t xml:space="preserve"> Съёмники стопорных колец</t>
  </si>
  <si>
    <t>УТ000048198</t>
  </si>
  <si>
    <t>Клещи для стопорных колец, для внутренних, изогнутые губки Spark Lux 175мм</t>
  </si>
  <si>
    <t>УТ000048196</t>
  </si>
  <si>
    <t>Клещи для стопорных колец, для внутренних, прямые губки Spark Lux 7-175мм, SL-555</t>
  </si>
  <si>
    <t>УТ000048199</t>
  </si>
  <si>
    <t>Клещи для стопорных колец, для наружних, изогнутые губки Spark Lux 175мм</t>
  </si>
  <si>
    <t>УТ000048197</t>
  </si>
  <si>
    <t>Клещи для стопорных колец, для наружних, прямые губки Spark Lux 7-175мм, SL-666</t>
  </si>
  <si>
    <t xml:space="preserve"> Утконосы, тонкогубцы</t>
  </si>
  <si>
    <t>УТ000036676</t>
  </si>
  <si>
    <t>Длинногубцы (тонкогубцы) STAYER, 160мм,  2х-комп. рукоятка</t>
  </si>
  <si>
    <t>УТ000044630</t>
  </si>
  <si>
    <t>Длинногубцы (тонкогубцы) X-Pert, 160мм,  прорезининовая рукоятка</t>
  </si>
  <si>
    <t>УТ000036647</t>
  </si>
  <si>
    <t>Длинногубцы изогнутые 160мм Airline AT-BNP-6</t>
  </si>
  <si>
    <t>УТ000041791</t>
  </si>
  <si>
    <t>Длинногубцы изогнутые 160мм AVS A40188S</t>
  </si>
  <si>
    <t>УТ000041792</t>
  </si>
  <si>
    <t>Длинногубцы изогнутые 180мм AVS A40189S</t>
  </si>
  <si>
    <t>УТ000041793</t>
  </si>
  <si>
    <t>Длинногубцы изогнутые 200мм AVS A40190S</t>
  </si>
  <si>
    <t>УТ000036653</t>
  </si>
  <si>
    <t>Длинногубцы прямые 160мм Airline AT-LNP-6</t>
  </si>
  <si>
    <t>УТ000041794</t>
  </si>
  <si>
    <t>Длинногубцы прямые 160мм AVS A40185S</t>
  </si>
  <si>
    <t>УТ000041795</t>
  </si>
  <si>
    <t>Длинногубцы прямые 180мм AVS A40186S</t>
  </si>
  <si>
    <t>УТ000036661</t>
  </si>
  <si>
    <t>Длинногубцы прямые 200мм Airline AT-LNP-8</t>
  </si>
  <si>
    <t>УТ000041796</t>
  </si>
  <si>
    <t>Длинногубцы прямые 200мм AVS A40187S</t>
  </si>
  <si>
    <t>УТ000057413</t>
  </si>
  <si>
    <t>Тонкогубцы  LIT 6" красно-черная ручка</t>
  </si>
  <si>
    <t>УТ000057414</t>
  </si>
  <si>
    <t>Тонкогубцы  LIT 8" красно-черная ручка</t>
  </si>
  <si>
    <t xml:space="preserve"> Ключи гаечные, торцевые, трубчатые, имбусовые</t>
  </si>
  <si>
    <t xml:space="preserve"> Ключи имбусовые</t>
  </si>
  <si>
    <t>УТ000054731</t>
  </si>
  <si>
    <t>Набор ключей TORX "звёздочки" SIB LUX T-124 10-50мм, 9 предметов, средний</t>
  </si>
  <si>
    <t>УТ000058085</t>
  </si>
  <si>
    <t>Набор ключей шестигранных  X-Pert 1,5-10мм, 9 предметов, малый</t>
  </si>
  <si>
    <t>УТ000057401</t>
  </si>
  <si>
    <t>Набор ключи имбусовые "HEX" 10пр "LIT"</t>
  </si>
  <si>
    <t xml:space="preserve"> Ключи накидные</t>
  </si>
  <si>
    <t>УТ000052417</t>
  </si>
  <si>
    <t>Ключ гаечный универсальный накидной 8-22мм, X-Pert</t>
  </si>
  <si>
    <t>УТ000055532</t>
  </si>
  <si>
    <t>Ключ комбинированный X-PERT рожково-накидной 14мм</t>
  </si>
  <si>
    <t>УТ000055533</t>
  </si>
  <si>
    <t>Ключ комбинированный X-PERT рожково-накидной 19мм</t>
  </si>
  <si>
    <t>УТ000055531</t>
  </si>
  <si>
    <t>Ключ комбинированный X-PERT рожково-накидной 8мм</t>
  </si>
  <si>
    <t>УТ000057399</t>
  </si>
  <si>
    <t>Ключ разводной "LIT" 8"/200мм c обрезиненной ручкой</t>
  </si>
  <si>
    <t>УТ000047062</t>
  </si>
  <si>
    <t>Ключ разводной сантехнический, 2х-комп. рукоятка, размер 10",  250мм (0-30мм) X-Pert XP-0629/XP-0042</t>
  </si>
  <si>
    <t>УТ000048193</t>
  </si>
  <si>
    <t>Ключ разводной сантехнический, 2х-комп. рукоятка, размер 12",  300мм (0-35мм) X-Pert XP-0629</t>
  </si>
  <si>
    <t>УТ000055530</t>
  </si>
  <si>
    <t>Ключ разводной сантехнический, 2х-комп. рукоятка, размер 6",  150мм (0-15мм) X-Pert  XP-0618</t>
  </si>
  <si>
    <t>УТ000047061</t>
  </si>
  <si>
    <t>Ключ разводной сантехнический, 2х-комп. рукоятка, размер 8",  200мм (0-20мм), X-Pert XP-0619/XP-5017</t>
  </si>
  <si>
    <t>УТ000054877</t>
  </si>
  <si>
    <t>Ключ трещоточный, №6, LIT, CrV</t>
  </si>
  <si>
    <t>УТ000002056</t>
  </si>
  <si>
    <t>Набор ключей гаечных многофункц. регулир. универс. 2шт. блистер 8-32</t>
  </si>
  <si>
    <t>УТ000055534</t>
  </si>
  <si>
    <t>Набор ключи гаечные, 14-60мм, с крючком, X-Pert (трубный)</t>
  </si>
  <si>
    <t>УТ000048638</t>
  </si>
  <si>
    <t>Набор комбинированных ключей 8-19мм, 8 предметов, X-Pert</t>
  </si>
  <si>
    <t xml:space="preserve"> Ключи трубчатые</t>
  </si>
  <si>
    <t>УТ000054523</t>
  </si>
  <si>
    <t>Ключ свечной 16мм трубчатый L=16см с резиновой вставкой Airline</t>
  </si>
  <si>
    <t>УТ000054554</t>
  </si>
  <si>
    <t>Ключ свечной 16мм трубчатый L=20см с резиновой вставкой</t>
  </si>
  <si>
    <t>УТ000054537</t>
  </si>
  <si>
    <t>Ключ свечной 21мм трубчатый L=16см с резиновой вставкой Airline</t>
  </si>
  <si>
    <t>УТ000054538</t>
  </si>
  <si>
    <t>Ключ свечной 21мм трубчатый L=23см с резиновой вставкой Airline</t>
  </si>
  <si>
    <t>УТ000039691</t>
  </si>
  <si>
    <t>Ключ трубчатый 6х7мм AVS A40120S</t>
  </si>
  <si>
    <t xml:space="preserve"> Торцевые головки и воротки</t>
  </si>
  <si>
    <t>УТ000048758</t>
  </si>
  <si>
    <t>Ключ трещоточный, 2х-комп. рукоятка, 1/2 на 24 зуба, Spark Lux SL-10</t>
  </si>
  <si>
    <t>УТ000058465</t>
  </si>
  <si>
    <t>Ключ трещоточный, 2х-комп. рукоятка, 1/4 на 24 зуба, Spark Lux SL-6</t>
  </si>
  <si>
    <t>УТ000040782</t>
  </si>
  <si>
    <t>Ключ трещоточный, 2х-комп. рукоятка, 3/8`` на 24 зуба X-Pert</t>
  </si>
  <si>
    <t>УТ000057404</t>
  </si>
  <si>
    <t>Набор трещетка 1/2+ головки 12 шт. 10-22 "LIT"</t>
  </si>
  <si>
    <t>УТ000057405</t>
  </si>
  <si>
    <t>Набор трещетка 3/8+ головки 12 шт. 8-19 "LIT"</t>
  </si>
  <si>
    <t xml:space="preserve"> Наборы инструментов</t>
  </si>
  <si>
    <t>УТ000058605</t>
  </si>
  <si>
    <t>Ключи гаечные комбинированные 8пр. LIT</t>
  </si>
  <si>
    <t>УТ000058608</t>
  </si>
  <si>
    <t>Набор головок (25пр. пласт. кейс) DECKO</t>
  </si>
  <si>
    <t>УТ000054880</t>
  </si>
  <si>
    <t>Набор головок (40пр. пласт. кейс) ZHONGXIN</t>
  </si>
  <si>
    <t>УТ000057402</t>
  </si>
  <si>
    <t>Набор головок и бит  (25пр. пласт. кейс) ZHONGXIN</t>
  </si>
  <si>
    <t>УТ000057403</t>
  </si>
  <si>
    <t>Набор головок и бит  (52пр. пласт. кейс) ZHONGXIN</t>
  </si>
  <si>
    <t>УТ000058458</t>
  </si>
  <si>
    <t>Набор головок и бит X-PERT с реверсивной отвёрткой XP-90061</t>
  </si>
  <si>
    <t>УТ000057311</t>
  </si>
  <si>
    <t>Набор головок и бит X-PERT с трещоточным ключом XP-90038</t>
  </si>
  <si>
    <t>УТ000044636</t>
  </si>
  <si>
    <t>Набор головок и бит с ключом-трещеткой XS-008 C</t>
  </si>
  <si>
    <t>00410057394</t>
  </si>
  <si>
    <t>Набор инструментов AIWA трещетка+ 38 головок+ отвертка в кейсе 48320</t>
  </si>
  <si>
    <t>УТ000057882</t>
  </si>
  <si>
    <t>Набор инструментов GQ421 (32in1)</t>
  </si>
  <si>
    <t>УТ000057883</t>
  </si>
  <si>
    <t>Набор инструментов GQ434 (24in1)</t>
  </si>
  <si>
    <t>УТ000057884</t>
  </si>
  <si>
    <t>Набор инструментов XS-008E</t>
  </si>
  <si>
    <t>УТ000057885</t>
  </si>
  <si>
    <t>Набор инструментов XS-008F</t>
  </si>
  <si>
    <t>УТ000055670</t>
  </si>
  <si>
    <t>Набор Ключи LIT трубчатые, 6-22мм, 10 предметов</t>
  </si>
  <si>
    <t>УТ000058464</t>
  </si>
  <si>
    <t>Набор удлинителей для торцевых головок + вороток, 1/2", 3 предм, X-PERT XP-21384</t>
  </si>
  <si>
    <t>УТ000058463</t>
  </si>
  <si>
    <t>Набор удлинителей для торцевых головок + Г-обр.вороток, 1/2", 3 предм, X-PERT XP-21385</t>
  </si>
  <si>
    <t>УТ000057710</t>
  </si>
  <si>
    <t>Набот инструментов PT-INO14</t>
  </si>
  <si>
    <t xml:space="preserve"> Отвертки</t>
  </si>
  <si>
    <t xml:space="preserve"> Биты, наборы бит, адаптеры, удлинители</t>
  </si>
  <si>
    <t>УТ000054549</t>
  </si>
  <si>
    <t>Бита PH2 х 50мм кованые, торсионные, 2шт, LIT (цена за 1шт)</t>
  </si>
  <si>
    <t>УТ000054548</t>
  </si>
  <si>
    <t>Бита PH2 х 70мм кованые, торсионные, 2шт, LIT (цена за 1шт)</t>
  </si>
  <si>
    <t>УТ000054558</t>
  </si>
  <si>
    <t>Бита PH2 х 90мм кованые, торсионные, 2шт, LIT (цена за 1шт)</t>
  </si>
  <si>
    <t>УТ000055896</t>
  </si>
  <si>
    <t>Бита двусторонняя PH2 х 150мм, LIT (цена за 1шт)</t>
  </si>
  <si>
    <t>УТ000058678</t>
  </si>
  <si>
    <t>Бита двусторонняя PH2 х 65мм LIT2 шт (цена за 1шт)</t>
  </si>
  <si>
    <t>УТ000053886</t>
  </si>
  <si>
    <t>Набор торцевых бит, адаптер магнит для кровел. саморезов 8x45мм, BL10</t>
  </si>
  <si>
    <t>УТ000054603</t>
  </si>
  <si>
    <t>Набор торцевых бит, адаптер магнит для кровел. саморезов 8x65мм, BL5</t>
  </si>
  <si>
    <t xml:space="preserve"> Отвертки TORX</t>
  </si>
  <si>
    <t>УТ000058441</t>
  </si>
  <si>
    <t>Отвертка TORX T10x100мм</t>
  </si>
  <si>
    <t>УТ000058442</t>
  </si>
  <si>
    <t>Отвертка TORX T15x100мм</t>
  </si>
  <si>
    <t>УТ000058443</t>
  </si>
  <si>
    <t>Отвертка TORX T25x100мм</t>
  </si>
  <si>
    <t>УТ000058444</t>
  </si>
  <si>
    <t>Отвертка TORX T27x100мм</t>
  </si>
  <si>
    <t>УТ000058445</t>
  </si>
  <si>
    <t>Отвертка TORX T40x125мм</t>
  </si>
  <si>
    <t>УТ000058437</t>
  </si>
  <si>
    <t>Отвертка TORX T7x75мм</t>
  </si>
  <si>
    <t>УТ000058438</t>
  </si>
  <si>
    <t>Отвертка TORX T8x75мм</t>
  </si>
  <si>
    <t>УТ000058439</t>
  </si>
  <si>
    <t>Отвертка TORX T9x75мм</t>
  </si>
  <si>
    <t xml:space="preserve"> Отвертки двухсторонние</t>
  </si>
  <si>
    <t>УТ000042996</t>
  </si>
  <si>
    <t>Отвертка двухсторонняя  X-Pert Америка, 6*210mm, 2-хкомп.рукоятка, A-4</t>
  </si>
  <si>
    <t>00000004469</t>
  </si>
  <si>
    <t>Отвертка двухсторонняя 3"/4x55мм "MASTER" 46025</t>
  </si>
  <si>
    <t>00410058581</t>
  </si>
  <si>
    <t>Отвертка двухсторонняя 4"/6x60мм "MASTER" 46026</t>
  </si>
  <si>
    <t>УТ000052408</t>
  </si>
  <si>
    <t>Отвертка двухсторонняя Spark Lux, 6*150mm, 2-хкомп.рукоятка, A-8</t>
  </si>
  <si>
    <t>УТ000056323</t>
  </si>
  <si>
    <t>Отвертка двухсторонняя SPARK LUX, двусторонняя, Америка, 6*240mm, A-5</t>
  </si>
  <si>
    <t>УТ000036667</t>
  </si>
  <si>
    <t>Отвертка двухсторонняя YUETE TOOLS, PH/SL5x150mm, магнитная</t>
  </si>
  <si>
    <t>УТ000043004</t>
  </si>
  <si>
    <t>Отвертка телескопическая  X-Pert, двухсторонняя, Т-образная, 2-хкомп.рукоятка B-2</t>
  </si>
  <si>
    <t>УТ000056321</t>
  </si>
  <si>
    <t>Отвертка телескопическая  X-Pert, двухсторонняя, Т-образная, 2-хкомп.рукоятка, с трещёткой B-1</t>
  </si>
  <si>
    <t xml:space="preserve"> Отвертки диэлектрические</t>
  </si>
  <si>
    <t>УТ000045849</t>
  </si>
  <si>
    <t>Отвертка крестовая диэлектрическая 1000В PH0x60, SmartBuy SBT-SCI-PH0x60P1</t>
  </si>
  <si>
    <t>УТ000045851</t>
  </si>
  <si>
    <t>Отвертка крестовая диэлектрическая 1000В PH1x150 SmartBuy SBT-SCI-PH1x150P1</t>
  </si>
  <si>
    <t>УТ000043301</t>
  </si>
  <si>
    <t>Отвертка крестовая диэлектрическая 1000В PH1х80 SmartBuy SBT-SCI-PH1x80P1</t>
  </si>
  <si>
    <t>УТ000043304</t>
  </si>
  <si>
    <t>Отвертка крестовая диэлектрическая 1000В PH2х100 SmartBuy SBT-SCI-PH2x100P1</t>
  </si>
  <si>
    <t>УТ000043308</t>
  </si>
  <si>
    <t>Отвертка крестовая диэлектрическая 1000В PH2х175 SmartBuy SBT-SCI-PH2x175P1</t>
  </si>
  <si>
    <t>УТ000043309</t>
  </si>
  <si>
    <t>Отвертка шлицевая диэлектрическая 1000В SL2,5х75 SmartBuy SBT-SCI-SL25x75P1</t>
  </si>
  <si>
    <t>УТ000005784</t>
  </si>
  <si>
    <t>Отвертка шлицевая диэлектрическая 1000В SL4x100mm SmartBuy SBT-SCI-SL4x100P1</t>
  </si>
  <si>
    <t>УТ000043312</t>
  </si>
  <si>
    <t>Отвертка шлицевая диэлектрическая 1000В SL6,5х150 SmartBuy SBT-SCI-SL65x150P1</t>
  </si>
  <si>
    <t xml:space="preserve"> Отвертки крест</t>
  </si>
  <si>
    <t>УТ000041767</t>
  </si>
  <si>
    <t>Отвёртка крестовая PH0x75мм AVS A40069S</t>
  </si>
  <si>
    <t>УТ000041770</t>
  </si>
  <si>
    <t>Отвёртка крестовая PH1x100мм AVS A40072S</t>
  </si>
  <si>
    <t>УТ000041769</t>
  </si>
  <si>
    <t>Отвёртка крестовая PH1x75мм AVS A40071S</t>
  </si>
  <si>
    <t>УТ000056852</t>
  </si>
  <si>
    <t>Отвертка крестовая PH2 х150мм ударная AVS</t>
  </si>
  <si>
    <t>УТ000041772</t>
  </si>
  <si>
    <t>Отвёртка крестовая PH2x100мм AVS A40074S</t>
  </si>
  <si>
    <t>УТ000041773</t>
  </si>
  <si>
    <t>Отвёртка крестовая PH2x125мм AVS A40075S</t>
  </si>
  <si>
    <t>УТ000041774</t>
  </si>
  <si>
    <t>Отвёртка крестовая PH2x150мм AVS A40076S</t>
  </si>
  <si>
    <t>УТ000041775</t>
  </si>
  <si>
    <t>Отвёртка крестовая PH2x200мм AVS A40077S</t>
  </si>
  <si>
    <t>УТ000041771</t>
  </si>
  <si>
    <t>Отвёртка крестовая PH2x38мм AVS A40073S</t>
  </si>
  <si>
    <t>УТ000041776</t>
  </si>
  <si>
    <t>Отвёртка крестовая PH3x150мм AVS A40078S</t>
  </si>
  <si>
    <t>УТ000056853</t>
  </si>
  <si>
    <t>Отвертка крестовая PZ0 x 75мм AVS</t>
  </si>
  <si>
    <t>УТ000056855</t>
  </si>
  <si>
    <t>Отвертка крестовая PZ2 x 100мм AVS</t>
  </si>
  <si>
    <t>УТ000056856</t>
  </si>
  <si>
    <t>Отвертка крестовая PZ3 x 150мм AVS</t>
  </si>
  <si>
    <t>УТ000035316</t>
  </si>
  <si>
    <t>Отвертка крестовая SmartBuy Tools PH1x150, 2х-компонентная рукоятка, CR-V, магнит</t>
  </si>
  <si>
    <t>УТ000035322</t>
  </si>
  <si>
    <t>Отвертка крестовая SmartBuy Tools PH2x150, 2х-компонентная рукоятка, CR-V, магнит</t>
  </si>
  <si>
    <t xml:space="preserve"> Отвертки плоские, шлицевые</t>
  </si>
  <si>
    <t>УТ000041778</t>
  </si>
  <si>
    <t>Отвёртка шлицевая SL3x100мм AVS A40080S</t>
  </si>
  <si>
    <t>УТ000041779</t>
  </si>
  <si>
    <t>Отвёртка шлицевая SL3x150мм AVS A40081S</t>
  </si>
  <si>
    <t>УТ000041777</t>
  </si>
  <si>
    <t>Отвёртка шлицевая SL3x75мм AVS A40079S</t>
  </si>
  <si>
    <t>УТ000041780</t>
  </si>
  <si>
    <t>Отвёртка шлицевая SL4x100мм AVS A40082S</t>
  </si>
  <si>
    <t>УТ000045855</t>
  </si>
  <si>
    <t>Отвертка шлицевая SL4x75, 2х-компонентная рукоятка, CR-V, магнит, SmartBuy Tools</t>
  </si>
  <si>
    <t>УТ000045856</t>
  </si>
  <si>
    <t>Отвертка шлицевая SL5x100, 2х-компонентная рукоятка, CR-V, магнит, SmartBuy Tools</t>
  </si>
  <si>
    <t>УТ000041783</t>
  </si>
  <si>
    <t>Отвёртка шлицевая SL5x100мм AVS A40085S</t>
  </si>
  <si>
    <t>УТ000045857</t>
  </si>
  <si>
    <t>Отвертка шлицевая SL5x150, 2х-компонентная рукоятка, CR-V, магнит, SmartBuy Tools</t>
  </si>
  <si>
    <t>УТ000041784</t>
  </si>
  <si>
    <t>Отвёртка шлицевая SL5x150мм AVS A40086S</t>
  </si>
  <si>
    <t>УТ000041781</t>
  </si>
  <si>
    <t>Отвёртка шлицевая SL5x38мм AVS A40083S</t>
  </si>
  <si>
    <t>УТ000055442</t>
  </si>
  <si>
    <t>Отвертка шлицевая SL5x75, 2х-компонентная рукоятка, CR-V, магнит, SmartBuy Tools</t>
  </si>
  <si>
    <t>УТ000041782</t>
  </si>
  <si>
    <t>Отвёртка шлицевая SL5x75мм AVS A40084S</t>
  </si>
  <si>
    <t>УТ000045858</t>
  </si>
  <si>
    <t>Отвертка шлицевая SL6x100, 2х-компонентная рукоятка, CR-V, магнит, SmartBuy Tools</t>
  </si>
  <si>
    <t>УТ000041785</t>
  </si>
  <si>
    <t>Отвёртка шлицевая SL6x100мм AVS A40087S</t>
  </si>
  <si>
    <t>УТ000035318</t>
  </si>
  <si>
    <t>Отвертка шлицевая SL6x150, 2х-компонентная рукоятка, CR-V, магнит, SmartBuy Tools</t>
  </si>
  <si>
    <t>УТ000041786</t>
  </si>
  <si>
    <t>Отвёртка шлицевая SL6x150мм AVS A40088S</t>
  </si>
  <si>
    <t>УТ000041787</t>
  </si>
  <si>
    <t>Отвёртка шлицевая SL8x200мм AVS A40089S</t>
  </si>
  <si>
    <t xml:space="preserve"> Отвертки прецизионные, для точных работ</t>
  </si>
  <si>
    <t>УТ000049827</t>
  </si>
  <si>
    <t>Отвертка для телефона JM-8147</t>
  </si>
  <si>
    <t>УТ000049828</t>
  </si>
  <si>
    <t>Отвертка для точных работ</t>
  </si>
  <si>
    <t xml:space="preserve"> Отвертки с набором бит</t>
  </si>
  <si>
    <t>УТ000052219</t>
  </si>
  <si>
    <t>Отвертка 3в1 карманная в виде авторучки JM-8155</t>
  </si>
  <si>
    <t>УТ000016226</t>
  </si>
  <si>
    <t>Отвертка реверсивная с набором бит и головок CQ-434</t>
  </si>
  <si>
    <t>УТ000041084</t>
  </si>
  <si>
    <t>Отвертка с набором бит YX-8015</t>
  </si>
  <si>
    <t>00400051840</t>
  </si>
  <si>
    <t>Отвертка с набором бит YX-8018 (15пр.)</t>
  </si>
  <si>
    <t>УТ000058606</t>
  </si>
  <si>
    <t>Отвертка с набором бит и головок 30пр. LIT</t>
  </si>
  <si>
    <t>УТ000014905</t>
  </si>
  <si>
    <t>Отвертка с набором бит и головок CQ-369</t>
  </si>
  <si>
    <t>00400051839</t>
  </si>
  <si>
    <t>Отвертка с набором бит и головок YX-8017D</t>
  </si>
  <si>
    <t xml:space="preserve"> Отвертки ударные</t>
  </si>
  <si>
    <t>УТ000056322</t>
  </si>
  <si>
    <t>Отвертка ударная Spark Lux, двусторонняя, 6*210mm, 2-хкомп.рукоятка, A-007</t>
  </si>
  <si>
    <t xml:space="preserve"> Скобозабивные пистолеты и принадлежности</t>
  </si>
  <si>
    <t>00401051814</t>
  </si>
  <si>
    <t>Скобы для степлера тип 53 №10 1000шт LIT 46680</t>
  </si>
  <si>
    <t>00401051813</t>
  </si>
  <si>
    <t>Скобы для степлера тип 53 №6 1000шт LIT 46678</t>
  </si>
  <si>
    <t>00401051815</t>
  </si>
  <si>
    <t>Скобы для степлера тип 53 №8 1000шт LIT 46679</t>
  </si>
  <si>
    <t xml:space="preserve"> Телескопические захваты, щупы, магниты</t>
  </si>
  <si>
    <t>УТ000046174</t>
  </si>
  <si>
    <t>Фонарь-лазерная указка+щуп телескопический с магнитом</t>
  </si>
  <si>
    <t xml:space="preserve"> Тиски, струбцины</t>
  </si>
  <si>
    <t>УТ000054085</t>
  </si>
  <si>
    <t>Струбцина автоматическая, F-образная, 150мм "LIT"</t>
  </si>
  <si>
    <t>УТ000054086</t>
  </si>
  <si>
    <t>Струбцина автоматическая, F-образная, 200мм "LIT"</t>
  </si>
  <si>
    <t>УТ000054087</t>
  </si>
  <si>
    <t>Струбцина автоматическая, F-образная, 250мм "LIT"</t>
  </si>
  <si>
    <t>УТ000054088</t>
  </si>
  <si>
    <t>Струбцина автоматическая, F-образная, 300мм "LIT"</t>
  </si>
  <si>
    <t>УТ000054090</t>
  </si>
  <si>
    <t>Струбцина автоматическая, F-образная, 600мм "LIT"</t>
  </si>
  <si>
    <t>УТ000055522</t>
  </si>
  <si>
    <t>Струбцина металлическая X-Pert 3`` тип G</t>
  </si>
  <si>
    <t>УТ000055525</t>
  </si>
  <si>
    <t>Струбцина металлическая X-Pert 6`` тип G</t>
  </si>
  <si>
    <t>УТ000055515</t>
  </si>
  <si>
    <t>Струбцина металлическая тип F, 120/400мм, X-Pert</t>
  </si>
  <si>
    <t>УТ000055516</t>
  </si>
  <si>
    <t>Струбцина металлическая тип F, 120/600мм, X-Pert</t>
  </si>
  <si>
    <t>УТ000055517</t>
  </si>
  <si>
    <t>Струбцина металлическая тип F, 120/800мм, X-Pert</t>
  </si>
  <si>
    <t>УТ000057416</t>
  </si>
  <si>
    <t>Струбцина металлическая тип F, 50/150мм, "LIT"</t>
  </si>
  <si>
    <t>УТ000055527</t>
  </si>
  <si>
    <t>Струбцина металлическая тип F, 80/400мм, Spark Lux</t>
  </si>
  <si>
    <t>УТ000049462</t>
  </si>
  <si>
    <t>Струбцина металлическая тип F, 80/500мм, Spark Lux</t>
  </si>
  <si>
    <t>УТ000049463</t>
  </si>
  <si>
    <t>Струбцина металлическая тип F, 80/600мм, Spark Lux</t>
  </si>
  <si>
    <t>УТ000051651</t>
  </si>
  <si>
    <t>Тиски настольные мини 40мм, захват до 30мм Smartbuy SBT-TM-40P1</t>
  </si>
  <si>
    <t xml:space="preserve"> Ударный инструмент</t>
  </si>
  <si>
    <t>УТ000056327</t>
  </si>
  <si>
    <t>Молоток слесарный с деревянной ручкой, 500г, X-Pert</t>
  </si>
  <si>
    <t>УТ000057417</t>
  </si>
  <si>
    <t>Молоток слесарный с пластиковой ручкой, 1000г, "LIT"</t>
  </si>
  <si>
    <t>УТ000057418</t>
  </si>
  <si>
    <t>Молоток слесарный с пластиковой ручкой, 300г, "LIT"</t>
  </si>
  <si>
    <t>УТ000058620</t>
  </si>
  <si>
    <t>Молоток слесарный с пластиковой ручкой, 500г, "LIT"</t>
  </si>
  <si>
    <t>УТ000058622</t>
  </si>
  <si>
    <t>Молоток слесарный с пластиковой ручкой, 800г, "LIT"</t>
  </si>
  <si>
    <t xml:space="preserve"> Электромонтажный  инструмент</t>
  </si>
  <si>
    <t xml:space="preserve"> Держатели, штативы для плат</t>
  </si>
  <si>
    <t>УТ000018709</t>
  </si>
  <si>
    <t>Держатель "Третья рука" с лупой JM-501 (OT-INL01)</t>
  </si>
  <si>
    <t>УТ000018801</t>
  </si>
  <si>
    <t>Держатель "Третья рука" с лупой MG 16129-C OT-INL46 (одиум, 2 зажима,подсветка LED питание 220 или3-6LR,держатель, 2,5x d90,7.5x d34,10x d34)</t>
  </si>
  <si>
    <t>УТ000018800</t>
  </si>
  <si>
    <t>Держатель "Третья рука" с лупой MG OT-INL45 (Подиум, 2 зажима,подсветка LED питание2-3LR,держатель для паяльника 2x d90,6x d21)</t>
  </si>
  <si>
    <t>УТ000038963</t>
  </si>
  <si>
    <t>Держатель "Третья рука" с лупой OT-INL44</t>
  </si>
  <si>
    <t>УТ000038890</t>
  </si>
  <si>
    <t>Держатель "Третья рука" с лупой OT-INL47</t>
  </si>
  <si>
    <t>УТ000046478</t>
  </si>
  <si>
    <t>Держатель печатных плат JM-Z15</t>
  </si>
  <si>
    <t>УТ000044673</t>
  </si>
  <si>
    <t>Держатель плат "Третья рука" PM-INP19</t>
  </si>
  <si>
    <t>УТ000044675</t>
  </si>
  <si>
    <t>Держатель плат "Третья рука" PM-INP21</t>
  </si>
  <si>
    <t xml:space="preserve"> Инструмент для зачистки и резки кабеля, стрипперы</t>
  </si>
  <si>
    <t>УТ000056480</t>
  </si>
  <si>
    <t>Инструмент для зачистки кабеля Ø0,60-2,6мм² BS442206</t>
  </si>
  <si>
    <t>УТ000052258</t>
  </si>
  <si>
    <t>Инструмент для снятия изоляции, обжим клемм PT-INK08</t>
  </si>
  <si>
    <t>УТ000052191</t>
  </si>
  <si>
    <t>Инструмент для снятия изоляции, обжим клемм, обрезка винтов PT-INK07</t>
  </si>
  <si>
    <t>УТ000052252</t>
  </si>
  <si>
    <t>Инструмент для снятия изоляции, обрезка кабеля PT-INK01</t>
  </si>
  <si>
    <t>УТ000051942</t>
  </si>
  <si>
    <t>Насадка для снятия изоляции, свинчивания и соединения проводников, 2.4-4мм2, SmartBuy Tools</t>
  </si>
  <si>
    <t>УТ000057411</t>
  </si>
  <si>
    <t>Стриппер многофункциональный + кабелерез "LIT" 8"</t>
  </si>
  <si>
    <t>УТ000052755</t>
  </si>
  <si>
    <t>Стриппер многофункциональный 8", LIT</t>
  </si>
  <si>
    <t>УТ000051944</t>
  </si>
  <si>
    <t>Съемник изоляции для коаксиальных проводов, 12мм, SmartBuy Tools</t>
  </si>
  <si>
    <t>УТ000054780</t>
  </si>
  <si>
    <t>Съемник изоляции, нож для обрезки проводника Ø0,5-6мм² Smartbuy tools SBT-WCR-3</t>
  </si>
  <si>
    <t xml:space="preserve"> Инструмент для обжима, кримпер клемм и наконечников</t>
  </si>
  <si>
    <t>УТ000052256</t>
  </si>
  <si>
    <t>Инструмент для обжима клемм PT-INK06</t>
  </si>
  <si>
    <t>УТ000053980</t>
  </si>
  <si>
    <t>Кримпер компрессионный для обжима RCA, BNC, F  PT-INK02</t>
  </si>
  <si>
    <t xml:space="preserve"> Инструмент для обжима, кримперы компьютерных и телефонных разъемов RJ</t>
  </si>
  <si>
    <t>УТ000052254</t>
  </si>
  <si>
    <t>Инструмент для обжима клемм PT-INK04</t>
  </si>
  <si>
    <t>00410056103</t>
  </si>
  <si>
    <t>Кримпер для обжима 6p6c, 8p8c, с фиксатором, обжимают, отрезают, снимают изоляцию</t>
  </si>
  <si>
    <t>00410053128</t>
  </si>
  <si>
    <t>Кримпер для обжима 8p, клещи для обжима компьютерные  Джетт</t>
  </si>
  <si>
    <t xml:space="preserve"> Лопатки, шила, зонды зеркало</t>
  </si>
  <si>
    <t>УТ000058750</t>
  </si>
  <si>
    <t>Зеркало с телескопической рукояткой AVS D30мм L=150-475мм</t>
  </si>
  <si>
    <t>УТ000040442</t>
  </si>
  <si>
    <t>Зеркало с телескопической рукояткой BS521423</t>
  </si>
  <si>
    <t>УТ000016684</t>
  </si>
  <si>
    <t>Лопатка стальная  JM-Z06  JAKEMY</t>
  </si>
  <si>
    <t>УТ000031505</t>
  </si>
  <si>
    <t>Набор для намотки спирали нагревателя Universal Tools</t>
  </si>
  <si>
    <t>УТ000054069</t>
  </si>
  <si>
    <t>Набор монтажных инструментов электрика, 6шт</t>
  </si>
  <si>
    <t>УТ000016381</t>
  </si>
  <si>
    <t>Шило монтажное прямое ШМ-02 160мм Rexant 12-4322-8</t>
  </si>
  <si>
    <t xml:space="preserve"> Пинцеты, зажимы</t>
  </si>
  <si>
    <t>УТ000056070</t>
  </si>
  <si>
    <t>Пинцет вакуумный, 3 сменные насадки ЕМT-201</t>
  </si>
  <si>
    <t>УТ000056092</t>
  </si>
  <si>
    <t>Пинцет прецизионный, регулируемый зажим, угловой, 165мм ЕМT-105</t>
  </si>
  <si>
    <t xml:space="preserve"> Ящики, сумки для инструментов</t>
  </si>
  <si>
    <t xml:space="preserve"> Боксы, органайзеры</t>
  </si>
  <si>
    <t>УТ000053156</t>
  </si>
  <si>
    <t>Наборная ячейка 40х90х140, синий</t>
  </si>
  <si>
    <t>УТ000053640</t>
  </si>
  <si>
    <t>Наборная ячейка 45х90х164, синий</t>
  </si>
  <si>
    <t xml:space="preserve"> Сумки поясные</t>
  </si>
  <si>
    <t>УТ000046509</t>
  </si>
  <si>
    <t>Сумка на пояс Spark Lux 019</t>
  </si>
  <si>
    <t>УТ000046510</t>
  </si>
  <si>
    <t>Сумка на пояс Spark Lux 029</t>
  </si>
  <si>
    <t>УТ000052399</t>
  </si>
  <si>
    <t>Сумка на пояс Spark Lux 040</t>
  </si>
  <si>
    <t>УТ000055499</t>
  </si>
  <si>
    <t>Сумка на пояс X-PERT BT-51 c карманами</t>
  </si>
  <si>
    <t>УТ000055500</t>
  </si>
  <si>
    <t>Сумка на пояс X-PERT BT-52 c карманами</t>
  </si>
  <si>
    <t>УТ000058452</t>
  </si>
  <si>
    <t>Сумка на пояс X-PERT BT-54 c карманами</t>
  </si>
  <si>
    <t>УТ000055501</t>
  </si>
  <si>
    <t>Сумка на пояс X-PERT BT-55 c карманами</t>
  </si>
  <si>
    <t xml:space="preserve"> Ящик для инструмента</t>
  </si>
  <si>
    <t>УТ000058598</t>
  </si>
  <si>
    <t>Ящик для инструмента металл.замки, стальные стенки LIT-Q14 (365x185x180мм)</t>
  </si>
  <si>
    <t>УТ000058599</t>
  </si>
  <si>
    <t>Ящик для инструмента металл.замки, стальные стенки LIT-Q17 (408x195x185мм)</t>
  </si>
  <si>
    <t>УТ000053885</t>
  </si>
  <si>
    <t>Ящик для инструмента пластиковый LIT-H13-S (330x150x144мм)</t>
  </si>
  <si>
    <t>УТ000053887</t>
  </si>
  <si>
    <t>Ящик для инструмента пластиковый LIT-H15-S (370x188x181мм)</t>
  </si>
  <si>
    <t>УТ000053888</t>
  </si>
  <si>
    <t>Ящик для инструмента пластиковый LIT-H17-S (432x232x220мм)</t>
  </si>
  <si>
    <t>УТ000053889</t>
  </si>
  <si>
    <t>Ящик для инструмента пластиковый LIT-H20-S (510x281x257мм)</t>
  </si>
  <si>
    <t xml:space="preserve"> Источники электропитания</t>
  </si>
  <si>
    <t xml:space="preserve"> Батареи аккумуляторные</t>
  </si>
  <si>
    <t xml:space="preserve"> Аккумуляторы  R03, AAA</t>
  </si>
  <si>
    <t>00000000600</t>
  </si>
  <si>
    <t>Аккумулятор Camelion R03  300mAh Ni-Cd BL-2 (24)</t>
  </si>
  <si>
    <t>00000000601</t>
  </si>
  <si>
    <t>Аккумулятор Camelion R03  600mAh Ni-Mh BL-2 (24)</t>
  </si>
  <si>
    <t>00000000602</t>
  </si>
  <si>
    <t>Аккумулятор Camelion R03  800mAh Ni-Mh BL-2 (24)</t>
  </si>
  <si>
    <t>00000000603</t>
  </si>
  <si>
    <t>Аккумулятор Camelion R03  900mAh Ni-Mh BL-2 (24)</t>
  </si>
  <si>
    <t>00000000605</t>
  </si>
  <si>
    <t>Аккумулятор Camelion R03 1000mAh Ni-Mh BL-2 (24)</t>
  </si>
  <si>
    <t>УТ000044160</t>
  </si>
  <si>
    <t>Аккумулятор GP R03  400mAh Ni-Mh BL-2 предзаряженные (20)</t>
  </si>
  <si>
    <t>УТ000056207</t>
  </si>
  <si>
    <t>Аккумулятор GP R03  850mAh Ni-Mh RECYKO- заряженные BL-2 (20)</t>
  </si>
  <si>
    <t>00410052182</t>
  </si>
  <si>
    <t>Аккумулятор GP R03  950mAh Ni-Mh BL-2 (20)</t>
  </si>
  <si>
    <t>00410050764</t>
  </si>
  <si>
    <t>Аккумулятор GP R03 1000mAh Ni-Mh BL-2 (20)</t>
  </si>
  <si>
    <t>00000003614</t>
  </si>
  <si>
    <t>Аккумулятор GP R03 650mAh Ni-Mh BL-2 (20)</t>
  </si>
  <si>
    <t>УТ000051594</t>
  </si>
  <si>
    <t>Аккумулятор Robiton DECT HR03 550mAh Ni-Mh BL-2 (для радиотелефонов)</t>
  </si>
  <si>
    <t>УТ000049431</t>
  </si>
  <si>
    <t>Аккумулятор Robiton R03  600mAh Ni-Mh BL-2</t>
  </si>
  <si>
    <t>УТ000048591</t>
  </si>
  <si>
    <t>Аккумулятор Robiton R03  900mAh Ni-Mh BL-2</t>
  </si>
  <si>
    <t>УТ000052604</t>
  </si>
  <si>
    <t>Аккумулятор Robiton SIBERIA R03 800mAh Ni-Mh BL-2 низкотемпературные</t>
  </si>
  <si>
    <t>УТ000013728</t>
  </si>
  <si>
    <t>Аккумулятор Smartbuy R03  600mAh Ni-Mh BL-2 (24/240)</t>
  </si>
  <si>
    <t>УТ000010099</t>
  </si>
  <si>
    <t>Аккумулятор SmartBuy R03  800mAh  BL-2 (24/240)</t>
  </si>
  <si>
    <t>УТ000010100</t>
  </si>
  <si>
    <t>Аккумулятор SmartBuy R03  950mAh  BL-2 (24/240)</t>
  </si>
  <si>
    <t>УТ000015358</t>
  </si>
  <si>
    <t>Аккумулятор SmartBuy R03 1100mAh  BL-2</t>
  </si>
  <si>
    <t xml:space="preserve"> Аккумуляторы  R06, AA</t>
  </si>
  <si>
    <t>00000000586</t>
  </si>
  <si>
    <t>Аккумулятор Camelion R06  600mAh Ni-Cd BL-2 (24)</t>
  </si>
  <si>
    <t>00000000587</t>
  </si>
  <si>
    <t>Аккумулятор Camelion R06  800mAh Ni-Cd BL-2 (24)</t>
  </si>
  <si>
    <t>00000000588</t>
  </si>
  <si>
    <t>Аккумулятор Camelion R06 1000mAh Ni-Cd BL-2 (24)</t>
  </si>
  <si>
    <t>00000000589</t>
  </si>
  <si>
    <t>Аккумулятор Camelion R06 1500mAh Ni-Mh BL-2 (24)</t>
  </si>
  <si>
    <t>00000000590</t>
  </si>
  <si>
    <t>Аккумулятор Camelion R06 1800mAh Ni-Mh BL-2 (24)</t>
  </si>
  <si>
    <t>00000000593</t>
  </si>
  <si>
    <t>Аккумулятор Camelion R06 2300mAh Ni-Mh BL-2 (24)</t>
  </si>
  <si>
    <t>00000000596</t>
  </si>
  <si>
    <t>Аккумулятор Camelion R06 2500mAh Ni-Mh BL-2 (24)</t>
  </si>
  <si>
    <t>00000003603</t>
  </si>
  <si>
    <t>Аккумулятор GP R06 1000mAh Ni-Cd BL-2</t>
  </si>
  <si>
    <t>00000003594</t>
  </si>
  <si>
    <t>Аккумулятор GP R06 1300mAh Ni-Mh BL-2</t>
  </si>
  <si>
    <t>00410052695</t>
  </si>
  <si>
    <t>Аккумулятор GP R06 1600mAh Ni-Mh BL-2</t>
  </si>
  <si>
    <t>00000003606</t>
  </si>
  <si>
    <t>Аккумулятор GP R06 1800mAh Ni-Mh BL-2</t>
  </si>
  <si>
    <t>00000003601</t>
  </si>
  <si>
    <t>Аккумулятор GP R06 2100mAh Ni-Mh BL-2 (20)</t>
  </si>
  <si>
    <t>УТ000036195</t>
  </si>
  <si>
    <t>Аккумулятор GP R06 2100mAh RECYKO-заряженные BL-2 (20)</t>
  </si>
  <si>
    <t>00000003604</t>
  </si>
  <si>
    <t>Аккумулятор GP R06 2300mAh Ni-Mh BL-2 (20)</t>
  </si>
  <si>
    <t>00000003608</t>
  </si>
  <si>
    <t>Аккумулятор GP R06 2700mAh Ni-Mh BL-2 (20)</t>
  </si>
  <si>
    <t>УТ000051595</t>
  </si>
  <si>
    <t>Аккумулятор Robiton DECT HR06 1300mAh Ni-Mh BL-2 (для радиотелефонов)</t>
  </si>
  <si>
    <t>УТ000048227</t>
  </si>
  <si>
    <t>Аккумулятор Robiton R06 1800mAh Ni-Mh BL-2</t>
  </si>
  <si>
    <t>УТ000048229</t>
  </si>
  <si>
    <t>Аккумулятор Robiton R06 2500mAh Ni-Mh BL-2</t>
  </si>
  <si>
    <t>УТ000052605</t>
  </si>
  <si>
    <t>Аккумулятор Robiton SIBERIA R06 2000mAh Ni-Mh BL-2 низкотемпературные</t>
  </si>
  <si>
    <t>УТ000053974</t>
  </si>
  <si>
    <t>Аккумулятор Robiton Solar R06 600mAh Ni-Mh BL-2</t>
  </si>
  <si>
    <t>УТ000013727</t>
  </si>
  <si>
    <t>Аккумулятор Smartbuy R06  1000mAh  BL-2</t>
  </si>
  <si>
    <t>УТ000054119</t>
  </si>
  <si>
    <t>Аккумулятор Smartbuy R06  1600mAh  BL-2</t>
  </si>
  <si>
    <t>УТ000054122</t>
  </si>
  <si>
    <t>Аккумулятор Smartbuy R06  1800mAh  BL-2</t>
  </si>
  <si>
    <t>УТ000054117</t>
  </si>
  <si>
    <t>Аккумулятор SmartBuy R06  2100mAh  BL-2</t>
  </si>
  <si>
    <t>УТ000010097</t>
  </si>
  <si>
    <t>Аккумулятор SmartBuy R06  2300mAh  BL-2</t>
  </si>
  <si>
    <t>УТ000010098</t>
  </si>
  <si>
    <t>Аккумулятор SmartBuy R06  2500mAh  BL-2</t>
  </si>
  <si>
    <t>УТ000016236</t>
  </si>
  <si>
    <t>Аккумулятор SmartBuy R06  2700mAh  BL-2</t>
  </si>
  <si>
    <t xml:space="preserve"> Аккумуляторы  R20, 6F22 КРОНА</t>
  </si>
  <si>
    <t>00000002164</t>
  </si>
  <si>
    <t>Аккумулятор Camelion R20 4500mAh Ni-Cd BL-2 (12)</t>
  </si>
  <si>
    <t>УТ000037069</t>
  </si>
  <si>
    <t>Аккумулятор Robiton 250MH9-1 (крона)</t>
  </si>
  <si>
    <t>УТ000055451</t>
  </si>
  <si>
    <t>Аккумулятор Robiton 6F22 LIR9V650 650mAh</t>
  </si>
  <si>
    <t xml:space="preserve"> Аккумуляторы SC, Sub C , для электроинструмента</t>
  </si>
  <si>
    <t>УТ000028313</t>
  </si>
  <si>
    <t>Аккумулятор 4/5SC 1200mAh 1,2B Ni-Cd Standart 23*34, для шуруповертов, ET D-4/5SC1200</t>
  </si>
  <si>
    <t>УТ000033296</t>
  </si>
  <si>
    <t>Аккумулятор EP D-SC2000 STANDART</t>
  </si>
  <si>
    <t>УТ000039075</t>
  </si>
  <si>
    <t>Аккумулятор ET D-4/5SC1400P 23*34 1400mAh</t>
  </si>
  <si>
    <t>УТ000039076</t>
  </si>
  <si>
    <t>Аккумулятор ET D-SC1300 Standart 23*43 1300mAh (для шуруповертов)</t>
  </si>
  <si>
    <t>УТ000053509</t>
  </si>
  <si>
    <t>Аккумулятор ET D-SC1800HP 23*43 1800mAh</t>
  </si>
  <si>
    <t>УТ000047344</t>
  </si>
  <si>
    <t>Аккумулятор H-1/2AAA240, 240mAh, ET</t>
  </si>
  <si>
    <t>УТ000047346</t>
  </si>
  <si>
    <t>Аккумулятор H-1/3AAA120, ET</t>
  </si>
  <si>
    <t>УТ000047348</t>
  </si>
  <si>
    <t>Аккумулятор H-1/4AAA80, ET</t>
  </si>
  <si>
    <t>УТ000051280</t>
  </si>
  <si>
    <t>Аккумулятор H-2/3AA650 Standart, 650mAh ET</t>
  </si>
  <si>
    <t xml:space="preserve"> Аккумуляторы для радиотелефонов, сборки</t>
  </si>
  <si>
    <t>УТ000033313</t>
  </si>
  <si>
    <t>Аккумулятор ROBITON DECT-T157-3X2/3AA 3.6V, 300 mAh Ni-Mh</t>
  </si>
  <si>
    <t>УТ000033314</t>
  </si>
  <si>
    <t>Аккумулятор ROBITON DECT-T160-3XAA 3.6V, 600 mAh Ni-Mh</t>
  </si>
  <si>
    <t>УТ000033315</t>
  </si>
  <si>
    <t>Аккумулятор ROBITON DECT-T207 3XAAA 3.6V, 600 mAh Ni-Mh</t>
  </si>
  <si>
    <t>УТ000038233</t>
  </si>
  <si>
    <t>Аккумулятор ROBITON DECT-T236-3XAA 3,6B 1300мАч</t>
  </si>
  <si>
    <t>УТ000033316</t>
  </si>
  <si>
    <t>Аккумулятор ROBITON DECT-T314-3X2/3AAA 3.6V, 300 mAh Ni-Mh</t>
  </si>
  <si>
    <t>УТ000033317</t>
  </si>
  <si>
    <t>Аккумулятор ROBITON DECT-T356-2XAAA PH1</t>
  </si>
  <si>
    <t>УТ000039487</t>
  </si>
  <si>
    <t>Аккумулятор ROBITON DECT-T393-4XAA 4,8B 1500мАч</t>
  </si>
  <si>
    <t xml:space="preserve"> Аккумуляторы литий-ионные Li-ion, цилиндрические</t>
  </si>
  <si>
    <t>УТ000010527</t>
  </si>
  <si>
    <t>Аккумулятор 14500, 1200 mAh, 3,7V, BP-1</t>
  </si>
  <si>
    <t>УТ000057674</t>
  </si>
  <si>
    <t>Аккумулятор 14500, ET ICR14500F-T, 900mAh, 2 ножки, горизонтальный монтаж</t>
  </si>
  <si>
    <t>УТ000057675</t>
  </si>
  <si>
    <t>Аккумулятор 14500, ET ICR14500H-T, 1000mAh, 2 ножки, горизонтальный монтаж</t>
  </si>
  <si>
    <t>УТ000047919</t>
  </si>
  <si>
    <t>Аккумулятор 14500, SmartBuy 1S800 mAh, 3,7V, BP-1</t>
  </si>
  <si>
    <t>УТ000046903</t>
  </si>
  <si>
    <t>Аккумулятор 16340, Robiton, 550 mAh, BL-2, с защитой</t>
  </si>
  <si>
    <t>УТ000037146</t>
  </si>
  <si>
    <t>Аккумулятор 18650 Dream BT01 (2000mAh) техпак , с высоким "+" выводом , уп. пакет</t>
  </si>
  <si>
    <t>УТ000034889</t>
  </si>
  <si>
    <t>Аккумулятор 18650 Dream BT01 (2000mAh) техпак , с высоким "+" выводом .</t>
  </si>
  <si>
    <t>УТ000034890</t>
  </si>
  <si>
    <t>Аккумулятор 18650 Dream BT02 (2000mAh)</t>
  </si>
  <si>
    <t>УТ000053947</t>
  </si>
  <si>
    <t>Аккумулятор 18650 Dream BT03 (2000mAh) 20A</t>
  </si>
  <si>
    <t>УТ000052900</t>
  </si>
  <si>
    <t>Аккумулятор 18650 Dream BT03 (2000mAh) 20A техпак</t>
  </si>
  <si>
    <t>УТ000056993</t>
  </si>
  <si>
    <t>Аккумулятор 18650 Dream BT06 (2600mAh)</t>
  </si>
  <si>
    <t>УТ000056995</t>
  </si>
  <si>
    <t>Аккумулятор 18650 Dream BT07 (3300mAh)</t>
  </si>
  <si>
    <t>УТ000038474</t>
  </si>
  <si>
    <t>Аккумулятор 18650 Panasonic NCR18650BD, 3200mAh</t>
  </si>
  <si>
    <t>УТ000043473</t>
  </si>
  <si>
    <t>Аккумулятор 18650 Robiton 1800NP mAh, без защиты</t>
  </si>
  <si>
    <t>УТ000030581</t>
  </si>
  <si>
    <t>Аккумулятор 18650 Smartbuy, 2000mAh BP-2</t>
  </si>
  <si>
    <t>УТ000053605</t>
  </si>
  <si>
    <t>Аккумулятор 18650 Smartbuy, 2000mAh BP-2 высокая токоотдача</t>
  </si>
  <si>
    <t>УТ000032706</t>
  </si>
  <si>
    <t>Аккумулятор 18650 Smartbuy, 2200mAh, блистер</t>
  </si>
  <si>
    <t>УТ000056623</t>
  </si>
  <si>
    <t>Аккумулятор 18650 Smartbuy, 2500mAh, с выводами</t>
  </si>
  <si>
    <t>УТ000054116</t>
  </si>
  <si>
    <t>Аккумулятор 18650 Smartbuy, 3000mAh 1S</t>
  </si>
  <si>
    <t>УТ000038323</t>
  </si>
  <si>
    <t>Аккумулятор 18650 Sony US18650VTC6, 3120mAh, 30A, высокая токоотдача</t>
  </si>
  <si>
    <t>УТ000054032</t>
  </si>
  <si>
    <t>Аккумулятор 18650, 1500 mAh, 3,7V, высокотоковый (22A), Li-ion, BP-2 с высоким выводом +</t>
  </si>
  <si>
    <t>УТ000054031</t>
  </si>
  <si>
    <t>Аккумулятор 18650, 1500 mAh, 3,7V, высокотоковый (22A), Li-ion, BP-2 с плоским выводом +</t>
  </si>
  <si>
    <t>УТ000011213</t>
  </si>
  <si>
    <t>Аккумулятор 18650, 2000 mAh, 3,7V, высокотоковый (20A), Li-ion, BP-2</t>
  </si>
  <si>
    <t>УТ000054033</t>
  </si>
  <si>
    <t>Аккумулятор 18650, 2500 mAh, 3,7V, высокотоковый (30A), Li-ion, BP-2 с плоским выводом +</t>
  </si>
  <si>
    <t>УТ000052831</t>
  </si>
  <si>
    <t>Аккумулятор 18650, 3500 mAh, 3,7V, высокотоковый (10A), Li-ion, BP-2</t>
  </si>
  <si>
    <t>УТ000046196</t>
  </si>
  <si>
    <t>Аккумулятор 26500, 3200 mAh, Protected ICR26500B (упак. 2шт)</t>
  </si>
  <si>
    <t>УТ000051756</t>
  </si>
  <si>
    <t>Аккумулятор 32700, 7000 mAh, 70А, Li-ion, BP-1</t>
  </si>
  <si>
    <t>УТ000051770</t>
  </si>
  <si>
    <t>Аккумулятор 32700, 7000 mAh, 70А, Li-ion, BP-1 (для пайки)</t>
  </si>
  <si>
    <t>УТ000021786</t>
  </si>
  <si>
    <t>Аккумулятор ICR 14500 800 mAh, 97236</t>
  </si>
  <si>
    <t>УТ000052601</t>
  </si>
  <si>
    <t>Аккумулятор ROBITON LGC1500, 30A (LG18650HE2) PK1</t>
  </si>
  <si>
    <t>УТ000052602</t>
  </si>
  <si>
    <t>Аккумулятор ROBITON LGC2500, 20A (LG18650HE2) PK1</t>
  </si>
  <si>
    <t xml:space="preserve"> Аккумуляторы литий-полимерный Li-Pol</t>
  </si>
  <si>
    <t>УТ000053494</t>
  </si>
  <si>
    <t>Аккумулятор Li-Pol LP103052-20CJ (3.7B, 1400mA)</t>
  </si>
  <si>
    <t>УТ000016763</t>
  </si>
  <si>
    <t>Аккумулятор Li-Pol LP232635 (3.7B, 130mAh) с защитой Robiton</t>
  </si>
  <si>
    <t>УТ000016764</t>
  </si>
  <si>
    <t>Аккумулятор Li-Pol LP233350 (3.7B, 310mAh) с защитой Robiton</t>
  </si>
  <si>
    <t>УТ000053495</t>
  </si>
  <si>
    <t>Аккумулятор Li-Pol LP302248-PCM (3.7B, 250mA)</t>
  </si>
  <si>
    <t>УТ000038260</t>
  </si>
  <si>
    <t>Аккумулятор Li-Pol LP303030 3,7В 180мАч PK1 Robiton</t>
  </si>
  <si>
    <t>УТ000053501</t>
  </si>
  <si>
    <t>Аккумулятор Li-Pol LP305565 (1000mAh) ET</t>
  </si>
  <si>
    <t>УТ000038261</t>
  </si>
  <si>
    <t>Аккумулятор Li-Pol LP401430 3,7В 120мАч PK1 с защитой Robiton</t>
  </si>
  <si>
    <t>УТ000050003</t>
  </si>
  <si>
    <t>Аккумулятор Li-Pol LP401730 3,7В 150мАч PK1 Robiton</t>
  </si>
  <si>
    <t>УТ000050004</t>
  </si>
  <si>
    <t>Аккумулятор Li-Pol LP402025 3,7В 150мАч PK1 Robiton</t>
  </si>
  <si>
    <t>УТ000046188</t>
  </si>
  <si>
    <t>Аккумулятор Li-Pol LP402030 3,7В 180мАч PK1 Robiton</t>
  </si>
  <si>
    <t>УТ000053502</t>
  </si>
  <si>
    <t>Аккумулятор Li-Pol LP403040 (3.7B, 450mA)</t>
  </si>
  <si>
    <t>УТ000039050</t>
  </si>
  <si>
    <t>Аккумулятор Li-Pol LP405085 (1700mAh) ET</t>
  </si>
  <si>
    <t>УТ000050008</t>
  </si>
  <si>
    <t>Аккумулятор Li-Pol LP417596 3,7В 3500мАч PK1 Robiton</t>
  </si>
  <si>
    <t>УТ000050009</t>
  </si>
  <si>
    <t>Аккумулятор Li-Pol LP451124 3,7В 65мАч PK1 Robiton</t>
  </si>
  <si>
    <t>УТ000046189</t>
  </si>
  <si>
    <t>Аккумулятор Li-Pol LP502020 3,7В 150мАч PK1 Robiton</t>
  </si>
  <si>
    <t>УТ000050011</t>
  </si>
  <si>
    <t>Аккумулятор Li-Pol LP502035 3,7В 300мАч PK1 Robiton</t>
  </si>
  <si>
    <t>УТ000053503</t>
  </si>
  <si>
    <t>Аккумулятор Li-Pol LP503040 (3.7B, 560mAh)</t>
  </si>
  <si>
    <t>УТ000053498</t>
  </si>
  <si>
    <t>Аккумулятор Li-Pol LP503070-PCM (3.7В 1200mAh)</t>
  </si>
  <si>
    <t>УТ000053504</t>
  </si>
  <si>
    <t>Аккумулятор Li-Pol LP5040150 (3500mAh)</t>
  </si>
  <si>
    <t>УТ000053505</t>
  </si>
  <si>
    <t>Аккумулятор Li-Pol LP505060-PCM (3.7B, 1500mAh)</t>
  </si>
  <si>
    <t>УТ000053506</t>
  </si>
  <si>
    <t>Аккумулятор Li-Pol LP514046 (1100mAh)</t>
  </si>
  <si>
    <t>УТ000028312</t>
  </si>
  <si>
    <t>Аккумулятор Li-Pol LP574240 (1100mAh) ET</t>
  </si>
  <si>
    <t>УТ000058236</t>
  </si>
  <si>
    <t>Аккумулятор Li-Pol LP601120 3,7В 100мАч PK1 Robiton</t>
  </si>
  <si>
    <t>УТ000053507</t>
  </si>
  <si>
    <t>Аккумулятор Li-Pol LP602060-PCM (3.7B, 700mA)</t>
  </si>
  <si>
    <t>УТ000058238</t>
  </si>
  <si>
    <t>Аккумулятор Li-Pol LP683440 3,7В 900мАч PK1 Robiton</t>
  </si>
  <si>
    <t>УТ000053500</t>
  </si>
  <si>
    <t>Аккумулятор Li-Pol LP752030 (3.7B, 300mA)</t>
  </si>
  <si>
    <t>УТ000043497</t>
  </si>
  <si>
    <t>Аккумулятор Li-Pol LP802035-20C (400mAh) ET</t>
  </si>
  <si>
    <t>УТ000039060</t>
  </si>
  <si>
    <t>Аккумулятор Li-Pol LP802540-20C (600mAh) ET</t>
  </si>
  <si>
    <t>УТ000014610</t>
  </si>
  <si>
    <t>Аккумулятор Li-Pol LP852540 (3.7B, 650mA) парный штепсель</t>
  </si>
  <si>
    <t>УТ000039065</t>
  </si>
  <si>
    <t>Аккумулятор Li-Pol LP855085 (4300mAh) ET</t>
  </si>
  <si>
    <t>УТ000039068</t>
  </si>
  <si>
    <t>Аккумулятор Li-Pol LP902540-20C (800mAh) ET</t>
  </si>
  <si>
    <t>УТ000053548</t>
  </si>
  <si>
    <t>Аккумулятор Li-Pol LP903052-25CJ (1200mAh) ET</t>
  </si>
  <si>
    <t xml:space="preserve"> Аккумуляторы свинцово-кислотные</t>
  </si>
  <si>
    <t xml:space="preserve"> Аккумуляторные батареи АКБ 12В</t>
  </si>
  <si>
    <t>УТ000038326</t>
  </si>
  <si>
    <t>Аккумулятор свинцово-кислотный 12V  7,2Ah Delta HR 12-7,2 для ИБП</t>
  </si>
  <si>
    <t>УТ000045337</t>
  </si>
  <si>
    <t>Аккумулятор свинцово-кислотный 12V 12Ah Delta DTM 1212</t>
  </si>
  <si>
    <t>00410055705</t>
  </si>
  <si>
    <t>Аккумулятор свинцово-кислотный 12V 17Ah Delta DTM 1217 181*77*167</t>
  </si>
  <si>
    <t>УТ000049018</t>
  </si>
  <si>
    <t>Аккумулятор свинцово-кислотный 12V 18Ah Delta DT 1218</t>
  </si>
  <si>
    <t>УТ000050461</t>
  </si>
  <si>
    <t>Аккумулятор свинцово-кислотный 12V 7,2Ah RC 1272 W</t>
  </si>
  <si>
    <t>УТ000046198</t>
  </si>
  <si>
    <t>Аккумулятор свинцово-кислотный 12V 9Ah Delta HR 12-9 для ИБП</t>
  </si>
  <si>
    <t xml:space="preserve"> Аккумуляторные батареи АКБ 4В</t>
  </si>
  <si>
    <t>УТ000037072</t>
  </si>
  <si>
    <t>Аккумулятор свинцово-кислотный 4V 0,7Ah Robiton VRLA4-0.7 для фонарей</t>
  </si>
  <si>
    <t xml:space="preserve"> Аккумуляторные батареи АКБ 6В</t>
  </si>
  <si>
    <t>УТ000012650</t>
  </si>
  <si>
    <t>Аккумулятор свинцово-кислотный 6V 1,2Ah Delta DT 6012/6013 97*24*58</t>
  </si>
  <si>
    <t>УТ000039037</t>
  </si>
  <si>
    <t>Аккумулятор свинцово-кислотный 6V 2,8Ah ROBITON VRLA 6-2,8</t>
  </si>
  <si>
    <t>УТ000046197</t>
  </si>
  <si>
    <t>Аккумулятор свинцово-кислотный 6V 3,2Ah Delta DTM 6032</t>
  </si>
  <si>
    <t>УТ000010951</t>
  </si>
  <si>
    <t>Аккумулятор свинцово-кислотный 6V 3,3Ah Delta DT 6033(125) 125*33*67 106121</t>
  </si>
  <si>
    <t>УТ000015114</t>
  </si>
  <si>
    <t>Аккумулятор свинцово-кислотный 6V 7,2Ah Delta HR 6-7.2  151*34*100 97623</t>
  </si>
  <si>
    <t>УТ000041222</t>
  </si>
  <si>
    <t>Аккумулятор свинцово-кислотный 6V 7Ah Delta DTM 607</t>
  </si>
  <si>
    <t xml:space="preserve"> Батарейки</t>
  </si>
  <si>
    <t xml:space="preserve"> Батарейки  R03, LR03, AAA</t>
  </si>
  <si>
    <t>00000000963</t>
  </si>
  <si>
    <t>Батарейка Camelion LR03 Plus Alkaline PB-24 (24) пластиковый бокс</t>
  </si>
  <si>
    <t>УТ000022852</t>
  </si>
  <si>
    <t>Батарейка Camelion LR03 Plus Alkaline SP-4 (60)</t>
  </si>
  <si>
    <t>00000000562</t>
  </si>
  <si>
    <t>Батарейка Camelion R03 Super Heavy Duty Green SR-4 (60)</t>
  </si>
  <si>
    <t>УТ000059199</t>
  </si>
  <si>
    <t>Батарейка Duracell LR03 Alkaline Basic BL- 12 РСТ(144)</t>
  </si>
  <si>
    <t>УТ000058420</t>
  </si>
  <si>
    <t>Батарейка Duracell LR03 Alkaline BL- 6 РСТотрывные</t>
  </si>
  <si>
    <t>УТ000059198</t>
  </si>
  <si>
    <t>Батарейка Duracell LR03 Alkaline BL-4 РСТ (48)</t>
  </si>
  <si>
    <t>УТ000059393</t>
  </si>
  <si>
    <t>Батарейка Duracell LR03 Alkaline SP-4, 40box, РСТ</t>
  </si>
  <si>
    <t>00000003055</t>
  </si>
  <si>
    <t>Батарейка Duracell LR03 Procell BP-10</t>
  </si>
  <si>
    <t>УТ000055977</t>
  </si>
  <si>
    <t>Батарейка Energizer LR03 Alkaline Power BL-12 отрывные (120)</t>
  </si>
  <si>
    <t>00000000676</t>
  </si>
  <si>
    <t>Батарейка Energizer LR03 BL-4 (48)</t>
  </si>
  <si>
    <t>УТ000038473</t>
  </si>
  <si>
    <t>Батарейка Energizer LR03 MAX BL-16 (96)</t>
  </si>
  <si>
    <t>УТ000011842</t>
  </si>
  <si>
    <t>Батарейка Energizer LR03 MAX BL-4 (48)</t>
  </si>
  <si>
    <t>УТ000036094</t>
  </si>
  <si>
    <t>Батарейка Energizer LR03 MAX PLUS BL-4 (48)</t>
  </si>
  <si>
    <t>УТ000055976</t>
  </si>
  <si>
    <t>Батарейка Energizer LR06 MAX BL-12 отрывные</t>
  </si>
  <si>
    <t>УТ000006584</t>
  </si>
  <si>
    <t>Батарейка Ergolux LR03 Alkaline BL-4 (40)</t>
  </si>
  <si>
    <t>УТ000006585</t>
  </si>
  <si>
    <t>Батарейка Ergolux LR03 Alkaline BP-24</t>
  </si>
  <si>
    <t>УТ000051272</t>
  </si>
  <si>
    <t>Батарейка Ergolux LR03 BP20</t>
  </si>
  <si>
    <t>УТ000045250</t>
  </si>
  <si>
    <t>Батарейка Ergolux LR03 SR-4 (60)</t>
  </si>
  <si>
    <t>УТ000013460</t>
  </si>
  <si>
    <t>Батарейка Ergolux R03 SR-4 (60)</t>
  </si>
  <si>
    <t>УТ000052474</t>
  </si>
  <si>
    <t>Батарейка GP LR03 Super BL-4 (3+1) (40)</t>
  </si>
  <si>
    <t>00000000967</t>
  </si>
  <si>
    <t>Батарейка GP LR03 Super BL-4 (40)</t>
  </si>
  <si>
    <t>УТ000011750</t>
  </si>
  <si>
    <t>Батарейка GP LR03 Super BL5, отрывные</t>
  </si>
  <si>
    <t>00000003691</t>
  </si>
  <si>
    <t>Батарейка GP LR03 Super SR-4 (96)</t>
  </si>
  <si>
    <t>УТ000028286</t>
  </si>
  <si>
    <t>Батарейка GP LR03 Ultra BL-4 (40)</t>
  </si>
  <si>
    <t>УТ000046118</t>
  </si>
  <si>
    <t>Батарейка GP LR03 Ultra Plus BL-8 (64)</t>
  </si>
  <si>
    <t>УТ000037063</t>
  </si>
  <si>
    <t>Батарейка Kodak LR03 XTRALIFE Colour box SR-4 (60)</t>
  </si>
  <si>
    <t>00000001445</t>
  </si>
  <si>
    <t>Батарейка Kodak R03 Heavy Dute SR-4 (40)</t>
  </si>
  <si>
    <t>УТ000058938</t>
  </si>
  <si>
    <t>Батарейка Opticell LR03 Basic BL-12 (144)</t>
  </si>
  <si>
    <t>УТ000021397</t>
  </si>
  <si>
    <t>Батарейка Panasonic LR03 Alkaline Power SR-4 (48)</t>
  </si>
  <si>
    <t>УТ000049995</t>
  </si>
  <si>
    <t>Батарейка Robiton LR03 Force BL-4, высокомощный (48)</t>
  </si>
  <si>
    <t>УТ000052590</t>
  </si>
  <si>
    <t>Батарейка Robiton LR03 Force SR-2, высокомощный (20)</t>
  </si>
  <si>
    <t>УТ000047224</t>
  </si>
  <si>
    <t>Батарейка Robiton LR03 Standart BL-10</t>
  </si>
  <si>
    <t>УТ000046669</t>
  </si>
  <si>
    <t>Батарейка Robiton LR03 Standart BL-4 (48)</t>
  </si>
  <si>
    <t>УТ000056532</t>
  </si>
  <si>
    <t>Батарейка Robiton LR03 Standart Bulk20</t>
  </si>
  <si>
    <t>УТ000037065</t>
  </si>
  <si>
    <t>Батарейка Robiton LR03 Standart SR-2 (40)</t>
  </si>
  <si>
    <t>УТ000052591</t>
  </si>
  <si>
    <t>Батарейка Robiton LR03 Standart SR-3 (48)</t>
  </si>
  <si>
    <t>УТ000046670</t>
  </si>
  <si>
    <t>Батарейка Robiton LR03 Standart SR-4 (40)</t>
  </si>
  <si>
    <t>УТ000037067</t>
  </si>
  <si>
    <t>Батарейка Robiton R03 Plus SR-4 (60)</t>
  </si>
  <si>
    <t>УТ000016923</t>
  </si>
  <si>
    <t>Батарейка Samsung Pleomax LR03 BL-4 Economy (40)</t>
  </si>
  <si>
    <t>УТ000014755</t>
  </si>
  <si>
    <t>Батарейка Samsung Pleomax LR03 SR-4 Economy (48)</t>
  </si>
  <si>
    <t>УТ000036458</t>
  </si>
  <si>
    <t>Батарейка SmartBuy LR03 40 bulk (SBBA-3A40S)</t>
  </si>
  <si>
    <t>УТ000014267</t>
  </si>
  <si>
    <t>Батарейка SmartBuy LR03 BL-5 strip (60)</t>
  </si>
  <si>
    <t>УТ000005155</t>
  </si>
  <si>
    <t>Батарейка SmartBuy ONE LR03 40 bulk (SOBA-3A40S-Eco)</t>
  </si>
  <si>
    <t>УТ000030144</t>
  </si>
  <si>
    <t>Батарейка SmartBuy ONE R03 SR-4 (60)</t>
  </si>
  <si>
    <t>УТ000004064</t>
  </si>
  <si>
    <t>Батарейка SmartBuy R03 SR-4 (60)</t>
  </si>
  <si>
    <t>УТ000026160</t>
  </si>
  <si>
    <t>Батарейка Varta LR03 Energy BL-10</t>
  </si>
  <si>
    <t>УТ000013925</t>
  </si>
  <si>
    <t>Батарейка Varta LR03 Energy BL-4 (40)</t>
  </si>
  <si>
    <t>УТ000059094</t>
  </si>
  <si>
    <t>Батарейка Varta LR03 LongLife BL-10</t>
  </si>
  <si>
    <t>УТ000044287</t>
  </si>
  <si>
    <t>Батарейка Varta LR03 LongLife BL-4</t>
  </si>
  <si>
    <t xml:space="preserve"> Батарейки  R06, LR06, AA</t>
  </si>
  <si>
    <t>00000000560</t>
  </si>
  <si>
    <t>Батарейка Camelion LR06 Plus Alkaline PB-24 (24) пластиковый бокс</t>
  </si>
  <si>
    <t>УТ000022851</t>
  </si>
  <si>
    <t>Батарейка Camelion LR06 Plus Alkaline SP-4 (60)</t>
  </si>
  <si>
    <t>00000000563</t>
  </si>
  <si>
    <t>Батарейка Camelion R6 Super Heavy Duty Green SR-4 (60)</t>
  </si>
  <si>
    <t>УТ000059389</t>
  </si>
  <si>
    <t>Батарейка Duracell LR06 Alkaline BL-12 РСТ</t>
  </si>
  <si>
    <t>УТ000059197</t>
  </si>
  <si>
    <t>Батарейка Duracell LR06 Alkaline BL-4 РСТ (48)</t>
  </si>
  <si>
    <t>УТ000059388</t>
  </si>
  <si>
    <t>Батарейка Duracell LR06 Alkaline BL-6 РСТ отрывные</t>
  </si>
  <si>
    <t>УТ000059390</t>
  </si>
  <si>
    <t>Батарейка Duracell LR06 Alkaline SP-4, 40box, РСТ</t>
  </si>
  <si>
    <t>00000000111</t>
  </si>
  <si>
    <t>Батарейка Energizer LR06 BL-4 (96)</t>
  </si>
  <si>
    <t>УТ000051274</t>
  </si>
  <si>
    <t>Батарейка Ergolux LR6 BP20</t>
  </si>
  <si>
    <t>УТ000013461</t>
  </si>
  <si>
    <t>Батарейка Ergolux R06 SR-4 (60)</t>
  </si>
  <si>
    <t>УТ000014165</t>
  </si>
  <si>
    <t>Батарейка GP LR06 Super BL-4 (40)</t>
  </si>
  <si>
    <t>УТ000012346</t>
  </si>
  <si>
    <t>Батарейка GP LR06 Super BL5, отрывные</t>
  </si>
  <si>
    <t>00000003232</t>
  </si>
  <si>
    <t>Батарейка GP LR06 Super SR-4 (96)</t>
  </si>
  <si>
    <t>УТ000055059</t>
  </si>
  <si>
    <t>Батарейка GP LR06 Ultra (Подари жизнь) BL-4 (40)</t>
  </si>
  <si>
    <t>УТ000028320</t>
  </si>
  <si>
    <t>Батарейка GP LR06 Ultra BL-4 (40)</t>
  </si>
  <si>
    <t>УТ000058311</t>
  </si>
  <si>
    <t>Батарейка GP LR06 Ultra Plus BL-8 (64)</t>
  </si>
  <si>
    <t>УТ000005235</t>
  </si>
  <si>
    <t>Батарейка Kodak LR06 MAX BL-24</t>
  </si>
  <si>
    <t>УТ000038500</t>
  </si>
  <si>
    <t>Батарейка Kodak LR06 XTRALIFE BOX60 (60)</t>
  </si>
  <si>
    <t>УТ000033049</t>
  </si>
  <si>
    <t>Батарейка Kodak LR06 XTRALIFE SR-4 (60)</t>
  </si>
  <si>
    <t>00000000949</t>
  </si>
  <si>
    <t>Батарейка Kodak R06 Heavy Dute SR-4 (24)</t>
  </si>
  <si>
    <t>УТ000058936</t>
  </si>
  <si>
    <t>Батарейка Opticell LR06 Basic BL-12 (144)</t>
  </si>
  <si>
    <t>УТ000019189</t>
  </si>
  <si>
    <t>Батарейка Panasonic LR06 Alkaline Power SR-4 (48)</t>
  </si>
  <si>
    <t>УТ000057668</t>
  </si>
  <si>
    <t>Батарейка Robiton FR06 LITHIUM WINNER высокотоковые, работают при низких темпиратурах  BL-2</t>
  </si>
  <si>
    <t>УТ000049996</t>
  </si>
  <si>
    <t>Батарейка Robiton LR06 Force BL-4, высокомощный (48)</t>
  </si>
  <si>
    <t>УТ000046671</t>
  </si>
  <si>
    <t>Батарейка Robiton LR06 Standart BL-4 (48)</t>
  </si>
  <si>
    <t>УТ000056544</t>
  </si>
  <si>
    <t>Батарейка Robiton LR06 Standart Bulk20</t>
  </si>
  <si>
    <t>УТ000052592</t>
  </si>
  <si>
    <t>Батарейка Robiton LR06 Standart SR-2 (40)</t>
  </si>
  <si>
    <t>УТ000046672</t>
  </si>
  <si>
    <t>Батарейка Robiton LR06 Standart SR-4 (40)</t>
  </si>
  <si>
    <t>УТ000037068</t>
  </si>
  <si>
    <t>Батарейка Robiton R06 Plus SR-4 (60)</t>
  </si>
  <si>
    <t>УТ000016924</t>
  </si>
  <si>
    <t>Батарейка Samsung Pleomax LR06 BL-4 Economy (40)</t>
  </si>
  <si>
    <t>УТ000026159</t>
  </si>
  <si>
    <t>Батарейка Samsung Pleomax LR06 SR-4 Economy (24)</t>
  </si>
  <si>
    <t>УТ000036443</t>
  </si>
  <si>
    <t>Батарейка SmartBuy LR06 40 bulk (720) (SBBA-2A40S)</t>
  </si>
  <si>
    <t>УТ000037163</t>
  </si>
  <si>
    <t>Батарейка SmartBuy LR06 BL-4</t>
  </si>
  <si>
    <t>УТ000014268</t>
  </si>
  <si>
    <t>Батарейка SmartBuy LR06 BL-5 strip (60)</t>
  </si>
  <si>
    <t>УТ000029194</t>
  </si>
  <si>
    <t>Батарейка SmartBuy ONE LR06 SR-10 Card</t>
  </si>
  <si>
    <t>УТ000030143</t>
  </si>
  <si>
    <t>Батарейка SmartBuy ONE R06 SR-4 (60) ECO</t>
  </si>
  <si>
    <t>УТ000003817</t>
  </si>
  <si>
    <t>Батарейка SmartBuy R06 SR-4 (60)</t>
  </si>
  <si>
    <t>УТ000026202</t>
  </si>
  <si>
    <t>Батарейка Varta LR06 Energy BL-10</t>
  </si>
  <si>
    <t>УТ000011753</t>
  </si>
  <si>
    <t>Батарейка Varta LR06 Energy BL-4 (80)</t>
  </si>
  <si>
    <t>УТ000059095</t>
  </si>
  <si>
    <t>Батарейка Varta LR06 LongLife BL-10</t>
  </si>
  <si>
    <t xml:space="preserve"> Батарейки 6F22, 6LR61, КРОНА, 3R12</t>
  </si>
  <si>
    <t>УТ000049424</t>
  </si>
  <si>
    <t>Батарейка Ansmann Extreme Lithium ER9V CR-V9 от -40°C до +60°C BL-1</t>
  </si>
  <si>
    <t>УТ000002107</t>
  </si>
  <si>
    <t>Батарейка Camelion 3LR12 Plus Alkaline BL1 (4.5v квадрат) (6)</t>
  </si>
  <si>
    <t>00000003020</t>
  </si>
  <si>
    <t>Батарейка Camelion 3R12 Super Heavy Duty Green SR-1 (квадрат) (12)</t>
  </si>
  <si>
    <t>00000003031</t>
  </si>
  <si>
    <t>Батарейка Camelion 6LF22/6LR61 Plus Alkaline BL-1 (крона) (12)</t>
  </si>
  <si>
    <t>УТ000013459</t>
  </si>
  <si>
    <t>Батарейка Ergolux 6F22 (крона) SR-1 (12)</t>
  </si>
  <si>
    <t>УТ000040642</t>
  </si>
  <si>
    <t>Батарейка Ergolux 6LR61 (крона) BL-1 (12)</t>
  </si>
  <si>
    <t>УТ000035328</t>
  </si>
  <si>
    <t>Батарейка GP 6F22 Blue SR-1 (10) крона</t>
  </si>
  <si>
    <t>00000000969</t>
  </si>
  <si>
    <t>Батарейка GP 6F22 SR-1 (10) крона</t>
  </si>
  <si>
    <t>УТ000053960</t>
  </si>
  <si>
    <t>Батарейка Robiton 3R12 SR-1 (6)</t>
  </si>
  <si>
    <t>УТ000046675</t>
  </si>
  <si>
    <t>Батарейка Robiton 6F22 SR-1 (крона) (10)</t>
  </si>
  <si>
    <t>УТ000047930</t>
  </si>
  <si>
    <t>Батарейка Robiton 6LR61 Alkaline BULK10 (крона)</t>
  </si>
  <si>
    <t>00000001354</t>
  </si>
  <si>
    <t>Батарейка Samsung Pleomax 6F22 SR-1 (крона) (10)</t>
  </si>
  <si>
    <t>УТ000016237</t>
  </si>
  <si>
    <t>Батарейка SmartBuy 3R12 SR-1 (квадрат)</t>
  </si>
  <si>
    <t>УТ000007503</t>
  </si>
  <si>
    <t>Батарейка SmartBuy 6F22/1S (10)</t>
  </si>
  <si>
    <t>УТ000012850</t>
  </si>
  <si>
    <t>Батарейка SmartBuy 6LR61/1B (12)</t>
  </si>
  <si>
    <t>УТ000036234</t>
  </si>
  <si>
    <t>Батарейка Varta 6LR61 Energy (4122) BL1(10)</t>
  </si>
  <si>
    <t xml:space="preserve"> Батарейки LR21, LR23, LR27, CR2, CR123</t>
  </si>
  <si>
    <t>00000003576</t>
  </si>
  <si>
    <t>Батарейка Camelion A23 BL-1 (20)</t>
  </si>
  <si>
    <t>УТ000022595</t>
  </si>
  <si>
    <t>Батарейка Camelion A23 BL-5 Mercury Free</t>
  </si>
  <si>
    <t>УТ000019389</t>
  </si>
  <si>
    <t>Батарейка Camelion A27 BL-1 Mercury Free</t>
  </si>
  <si>
    <t>УТ000029567</t>
  </si>
  <si>
    <t>Батарейка Camelion A27 BL-5 Mercury Free</t>
  </si>
  <si>
    <t>00000003018</t>
  </si>
  <si>
    <t>Батарейка Camelion LR01 BL-2 (MN9100)</t>
  </si>
  <si>
    <t>00000001193</t>
  </si>
  <si>
    <t>Батарейка Duracell CR123 Ultra PHOTO BL-1</t>
  </si>
  <si>
    <t>00410053536</t>
  </si>
  <si>
    <t>Батарейка Duracell CR2 BL-1</t>
  </si>
  <si>
    <t>00000001324</t>
  </si>
  <si>
    <t>Батарейка Duracell А27 Alkaline BL-1 (10)</t>
  </si>
  <si>
    <t>00410050767</t>
  </si>
  <si>
    <t>Батарейка GP A23 BL-5</t>
  </si>
  <si>
    <t>УТ000012016</t>
  </si>
  <si>
    <t>Батарейка GP A27 BL-5</t>
  </si>
  <si>
    <t>УТ000047241</t>
  </si>
  <si>
    <t>Батарейка Robiton A23 BL-5</t>
  </si>
  <si>
    <t>УТ000047242</t>
  </si>
  <si>
    <t>Батарейка Robiton A27 BL-5</t>
  </si>
  <si>
    <t>УТ000047251</t>
  </si>
  <si>
    <t>Батарейка Robiton PROFI CR123A 3V SR-2</t>
  </si>
  <si>
    <t>УТ000048223</t>
  </si>
  <si>
    <t>Батарейка Robiton PROFI CR2 BL-1</t>
  </si>
  <si>
    <t>УТ000049999</t>
  </si>
  <si>
    <t>Батарейка Robiton Standart LR1 BL-5</t>
  </si>
  <si>
    <t>УТ000010102</t>
  </si>
  <si>
    <t>Батарейка SmartBuy A27 BL-5</t>
  </si>
  <si>
    <t>УТ000037096</t>
  </si>
  <si>
    <t>Батарейка SmartBuy CR123A BL-1</t>
  </si>
  <si>
    <t>УТ000032707</t>
  </si>
  <si>
    <t>Батарейка SmartBuy CR2/1B  (SBBL-2-1B) BL-1</t>
  </si>
  <si>
    <t>УТ000041811</t>
  </si>
  <si>
    <t>Батарейка Varta A27 BL-1</t>
  </si>
  <si>
    <t>УТ000039972</t>
  </si>
  <si>
    <t>Батарейка Varta CR123A BL-1</t>
  </si>
  <si>
    <t xml:space="preserve"> Батарейки R14, LR14, C, R10</t>
  </si>
  <si>
    <t>00000001358</t>
  </si>
  <si>
    <t>Батарейка Camelion LR14 Alkaline BL-2 (12)</t>
  </si>
  <si>
    <t>00000001360</t>
  </si>
  <si>
    <t>Батарейка Camelion R14 Super Heavy Duty Green SR-2 (12)</t>
  </si>
  <si>
    <t>00000001186</t>
  </si>
  <si>
    <t>Батарейка Duracell LR14 Alkaline BL-2 (20)</t>
  </si>
  <si>
    <t>УТ000006659</t>
  </si>
  <si>
    <t>Батарейка Energizer LR14 MAX BL-2 (12)</t>
  </si>
  <si>
    <t>УТ000045252</t>
  </si>
  <si>
    <t>Батарейка Ergolux R14 SR-2 (12)</t>
  </si>
  <si>
    <t>00000001344</t>
  </si>
  <si>
    <t>Батарейка GP R14 SR-2 (24)</t>
  </si>
  <si>
    <t>00000000950</t>
  </si>
  <si>
    <t>Батарейка Kodak R14 SR-2 (24)</t>
  </si>
  <si>
    <t>00000001174</t>
  </si>
  <si>
    <t>Батарейка Panasonic R14 BL-2</t>
  </si>
  <si>
    <t>УТ000047928</t>
  </si>
  <si>
    <t>Батарейка Robiton LR14 Alkaline SR-2</t>
  </si>
  <si>
    <t>УТ000039483</t>
  </si>
  <si>
    <t>Батарейка Robiton R14 SR-2</t>
  </si>
  <si>
    <t>УТ000012176</t>
  </si>
  <si>
    <t>Батарейка SmartBuy LR14 BL-2 (12)</t>
  </si>
  <si>
    <t>УТ000008864</t>
  </si>
  <si>
    <t>Батарейка SmartBuy R14 SR-2 (24)</t>
  </si>
  <si>
    <t>00000001367</t>
  </si>
  <si>
    <t>Батарейка Varta R14 Superlife BL-2</t>
  </si>
  <si>
    <t xml:space="preserve"> Батарейки R20, LR20, D</t>
  </si>
  <si>
    <t>00000001170</t>
  </si>
  <si>
    <t>Батарейка Camelion LR20 Plus Alkaline BL-2 (12)</t>
  </si>
  <si>
    <t>00000000564</t>
  </si>
  <si>
    <t>Батарейка Camelion R20 Super Heavy Duty Black SR-2 (12)</t>
  </si>
  <si>
    <t>УТ000013462</t>
  </si>
  <si>
    <t>Батарейка Ergolux R20 SR-2 (12)</t>
  </si>
  <si>
    <t>00410055750</t>
  </si>
  <si>
    <t>Батарейка GP LR20 Super BL-2 (20)</t>
  </si>
  <si>
    <t>УТ000028288</t>
  </si>
  <si>
    <t>Батарейка GP R20 SR-2 Blue (20)</t>
  </si>
  <si>
    <t>00000001444</t>
  </si>
  <si>
    <t>Батарейка Kodak LR20 MAX BL-2</t>
  </si>
  <si>
    <t>00000001195</t>
  </si>
  <si>
    <t>Батарейка Kodak R20 SR-2 (24)</t>
  </si>
  <si>
    <t>00000001172</t>
  </si>
  <si>
    <t>Батарейка Panasonic R20 Zinc Carbon BL-2</t>
  </si>
  <si>
    <t>УТ000046673</t>
  </si>
  <si>
    <t>Батарейка Robiton LR20 Alkaline SR-2 (12)</t>
  </si>
  <si>
    <t>УТ000039484</t>
  </si>
  <si>
    <t>Батарейка Robiton R20 SR-2</t>
  </si>
  <si>
    <t>00000001452</t>
  </si>
  <si>
    <t>Батарейка Samsung Pleomax R20 SR-2 (24)</t>
  </si>
  <si>
    <t>УТ000006275</t>
  </si>
  <si>
    <t>Батарейка SmartBuy LR20 BL-2 (12)</t>
  </si>
  <si>
    <t>УТ000018661</t>
  </si>
  <si>
    <t>Батарейка SmartBuy R20 BL-2 (12)</t>
  </si>
  <si>
    <t>УТ000008952</t>
  </si>
  <si>
    <t>Батарейка SmartBuy R20 SR-2 (24)</t>
  </si>
  <si>
    <t>УТ000038334</t>
  </si>
  <si>
    <t>Батарейка Varta LR20 EnergyBL-2</t>
  </si>
  <si>
    <t>УТ000052467</t>
  </si>
  <si>
    <t>Батарейка Varta LR20 LongLife BL-2</t>
  </si>
  <si>
    <t xml:space="preserve"> Батарейки дисковые, для слуховых аппаратов</t>
  </si>
  <si>
    <t>УТ000028839</t>
  </si>
  <si>
    <t>Батарейка Camelion ZA10 ZincAir Mercury Free (для слуховых аппаратов 1,4В) BL-6 (60)</t>
  </si>
  <si>
    <t>УТ000028838</t>
  </si>
  <si>
    <t>Батарейка Camelion ZA13 ZincAir Mercury Free (для слуховых аппаратов 1,4В) BL-6 (60)</t>
  </si>
  <si>
    <t>УТ000028840</t>
  </si>
  <si>
    <t>Батарейка Camelion ZA312 ZincAir Mercury Free (для слуховых аппаратов 1,4В) BL-6 (60)</t>
  </si>
  <si>
    <t>УТ000028841</t>
  </si>
  <si>
    <t>Батарейка Camelion ZA675 ZincAir Mercury Free (для слуховых аппаратов 1,4В) BL-6 (60)</t>
  </si>
  <si>
    <t>УТ000034417</t>
  </si>
  <si>
    <t>Батарейка Duracell ZA312 BL6 Zinc Air 1.45V DE (6/60/600), для слуховых аппаратов</t>
  </si>
  <si>
    <t>УТ000034426</t>
  </si>
  <si>
    <t>Батарейка GP ZA10, для слуховых аппаратов BL-6</t>
  </si>
  <si>
    <t>УТ000041805</t>
  </si>
  <si>
    <t>Батарейка GP ZA312, для слуховых аппаратов BL-6</t>
  </si>
  <si>
    <t>УТ000040644</t>
  </si>
  <si>
    <t>Батарейка GP ZA675, для слуховых аппаратов BL-6</t>
  </si>
  <si>
    <t>00400047441</t>
  </si>
  <si>
    <t>Батарейка Renata Maratone ZA10 ZincAir (для слуховых аппаратов 1,4В) BL-6</t>
  </si>
  <si>
    <t>УТ000043482</t>
  </si>
  <si>
    <t>Батарейка Renata Maratone ZA13 ZincAir (для слуховых аппаратов 1,4В) BL-6</t>
  </si>
  <si>
    <t>00400047443</t>
  </si>
  <si>
    <t>Батарейка Renata Maratone ZA312 ZincAir (для слуховых аппаратов 1,4В) BL-6</t>
  </si>
  <si>
    <t>УТ000043483</t>
  </si>
  <si>
    <t>Батарейка Renata Maratone ZA675 ZincAir (для слуховых аппаратов 1,4В) BL-6</t>
  </si>
  <si>
    <t>УТ000048220</t>
  </si>
  <si>
    <t>Батарейка Robiton ZA10, для слуховых аппаратов BL-6</t>
  </si>
  <si>
    <t>УТ000048221</t>
  </si>
  <si>
    <t>Батарейка Robiton ZA312, для слуховых аппаратов BL-6</t>
  </si>
  <si>
    <t>УТ000048222</t>
  </si>
  <si>
    <t>Батарейка Robiton ZA675, для слуховых аппаратов BL-6</t>
  </si>
  <si>
    <t>УТ000036489</t>
  </si>
  <si>
    <t>Батарейка Smartbuy A10, для слуховых аппаратов BL-6</t>
  </si>
  <si>
    <t>УТ000036490</t>
  </si>
  <si>
    <t>Батарейка Smartbuy A13, для слуховых аппаратов BL-6 (SBZA-A13-6B)</t>
  </si>
  <si>
    <t>УТ000036491</t>
  </si>
  <si>
    <t>Батарейка Smartbuy A312, для слуховых аппаратов BL-6</t>
  </si>
  <si>
    <t>УТ000040420</t>
  </si>
  <si>
    <t>Батарейка Smartbuy A675, для слуховых аппаратов BL-6</t>
  </si>
  <si>
    <t xml:space="preserve"> Батарейки дисковые, литиевые</t>
  </si>
  <si>
    <t>00000003285</t>
  </si>
  <si>
    <t>Батарейка Camelion CR1025 Premium Lithium BL-1</t>
  </si>
  <si>
    <t>00410052981</t>
  </si>
  <si>
    <t>Батарейка Camelion CR1216 BL-1</t>
  </si>
  <si>
    <t>00000003286</t>
  </si>
  <si>
    <t>Батарейка Camelion CR1225 Premium Lithium BL-1</t>
  </si>
  <si>
    <t>00000003284</t>
  </si>
  <si>
    <t>Батарейка Camelion CR1616 BL-1</t>
  </si>
  <si>
    <t>00000003283</t>
  </si>
  <si>
    <t>Батарейка Camelion CR1632 BL-1</t>
  </si>
  <si>
    <t>00000001184</t>
  </si>
  <si>
    <t>Батарейка Camelion CR2016 BP-5 (50)</t>
  </si>
  <si>
    <t>00000001185</t>
  </si>
  <si>
    <t>Батарейка Camelion CR2025 BP-5 (50)</t>
  </si>
  <si>
    <t>00000001734</t>
  </si>
  <si>
    <t>Батарейка Camelion CR2032 BL-5 (50)</t>
  </si>
  <si>
    <t>00400047798</t>
  </si>
  <si>
    <t>Батарейка Camelion CR2325 BL-1</t>
  </si>
  <si>
    <t>00400047799</t>
  </si>
  <si>
    <t>Батарейка Camelion CR2330 BL-1</t>
  </si>
  <si>
    <t>00000001755</t>
  </si>
  <si>
    <t>Батарейка Camelion CR2430 BL-1</t>
  </si>
  <si>
    <t>00000001756</t>
  </si>
  <si>
    <t>Батарейка Camelion CR2450 BL-1</t>
  </si>
  <si>
    <t>00000003703</t>
  </si>
  <si>
    <t>Батарейка Camelion CR2477 BL-1</t>
  </si>
  <si>
    <t>УТ000059195</t>
  </si>
  <si>
    <t>Батарейка Duracell CR2016  BL-5 РСТ (50)</t>
  </si>
  <si>
    <t>УТ000059194</t>
  </si>
  <si>
    <t>Батарейка Duracell CR2025  BL-5 РСТ (50)</t>
  </si>
  <si>
    <t>УТ000059193</t>
  </si>
  <si>
    <t>Батарейка Duracell CR2032  BL-5 РСТ (50)</t>
  </si>
  <si>
    <t>00000002797</t>
  </si>
  <si>
    <t>Батарейка Energizer CR2016 Lithium BL-2 (20)</t>
  </si>
  <si>
    <t>УТ000003463</t>
  </si>
  <si>
    <t>Батарейка Energizer CR2025 Lithium BL-1</t>
  </si>
  <si>
    <t>УТ000002912</t>
  </si>
  <si>
    <t>Батарейка Energizer CR2032 Lithium BL-1 (10)</t>
  </si>
  <si>
    <t>УТ000054444</t>
  </si>
  <si>
    <t>Батарейка ER14505-AX AA 3,6В 2600mAh с аксиальными выводами Sunmoon</t>
  </si>
  <si>
    <t>УТ000032351</t>
  </si>
  <si>
    <t>Батарейка GP CR2016 BL-5</t>
  </si>
  <si>
    <t>УТ000032352</t>
  </si>
  <si>
    <t>Батарейка GP CR2025 BL-5</t>
  </si>
  <si>
    <t>УТ000039082</t>
  </si>
  <si>
    <t>Батарейка GP CR2032 BL-1</t>
  </si>
  <si>
    <t>УТ000049397</t>
  </si>
  <si>
    <t>Батарейка Panasonic CR2412 BL-1 (для ключей Lexus)</t>
  </si>
  <si>
    <t>УТ000021914</t>
  </si>
  <si>
    <t>Батарейка Panasonic Power Cells CR2016 BL-6 (60)</t>
  </si>
  <si>
    <t>УТ000021915</t>
  </si>
  <si>
    <t>Батарейка Panasonic Power Cells CR2025 BL-6 (60)</t>
  </si>
  <si>
    <t>УТ000021916</t>
  </si>
  <si>
    <t>Батарейка Panasonic Power Cells CR2032 BL-6 (60)</t>
  </si>
  <si>
    <t>УТ000043481</t>
  </si>
  <si>
    <t>Батарейка Renata CR1025 BL-1</t>
  </si>
  <si>
    <t>УТ000042396</t>
  </si>
  <si>
    <t>Батарейка Renata CR1216 BL-1</t>
  </si>
  <si>
    <t>УТ000042507</t>
  </si>
  <si>
    <t>Батарейка Renata CR1225 BL-1</t>
  </si>
  <si>
    <t>УТ000033804</t>
  </si>
  <si>
    <t>Батарейка Renata CR1620 BL-1</t>
  </si>
  <si>
    <t>00000003287</t>
  </si>
  <si>
    <t>Батарейка Renata CR1632 BL-1</t>
  </si>
  <si>
    <t>00000002160</t>
  </si>
  <si>
    <t>Батарейка Renata CR2016 BL-1</t>
  </si>
  <si>
    <t>00000002161</t>
  </si>
  <si>
    <t>Батарейка Renata CR2025 BL-1</t>
  </si>
  <si>
    <t>00000002162</t>
  </si>
  <si>
    <t>Батарейка Renata CR2032 BL-1</t>
  </si>
  <si>
    <t>УТ000044962</t>
  </si>
  <si>
    <t>Батарейка Renata CR2320 BL-1</t>
  </si>
  <si>
    <t>УТ000044963</t>
  </si>
  <si>
    <t>Батарейка Renata CR2325 BL-1</t>
  </si>
  <si>
    <t>УТ000012257</t>
  </si>
  <si>
    <t>Батарейка Renata CR2430 BL-1</t>
  </si>
  <si>
    <t>УТ000042003</t>
  </si>
  <si>
    <t>Батарейка Robiton PROFI CR1/3N 3V BL-1 (для вебасты)</t>
  </si>
  <si>
    <t>УТ000047931</t>
  </si>
  <si>
    <t>Батарейка Robiton Profi CR1216 BL-1</t>
  </si>
  <si>
    <t>УТ000047932</t>
  </si>
  <si>
    <t>Батарейка Robiton Profi CR1220 BL-1</t>
  </si>
  <si>
    <t>УТ000047933</t>
  </si>
  <si>
    <t>Батарейка Robiton Profi CR1225 BL-1</t>
  </si>
  <si>
    <t>УТ000047935</t>
  </si>
  <si>
    <t>Батарейка Robiton Profi CR1620 BL-1</t>
  </si>
  <si>
    <t>УТ000047936</t>
  </si>
  <si>
    <t>Батарейка Robiton Profi CR1632 BL-1</t>
  </si>
  <si>
    <t>УТ000051593</t>
  </si>
  <si>
    <t>Батарейка Robiton Profi CR1632 BL-5</t>
  </si>
  <si>
    <t>УТ000046676</t>
  </si>
  <si>
    <t>Батарейка Robiton Profi CR2016 BL-5</t>
  </si>
  <si>
    <t>УТ000046677</t>
  </si>
  <si>
    <t>Батарейка Robiton Profi CR2025 BL-5</t>
  </si>
  <si>
    <t>УТ000049425</t>
  </si>
  <si>
    <t>Батарейка Robiton Profi CR2032 BL-1</t>
  </si>
  <si>
    <t>УТ000046678</t>
  </si>
  <si>
    <t>Батарейка Robiton Profi CR2032 BL-5</t>
  </si>
  <si>
    <t>УТ000047226</t>
  </si>
  <si>
    <t>Батарейка Robiton Profi CR2032 HA6,2/20.5 с выводами под пайку (упак. 5шт.)</t>
  </si>
  <si>
    <t>УТ000047227</t>
  </si>
  <si>
    <t>Батарейка Robiton Profi CR2032 HP2M1 с выводами под пайку (5)</t>
  </si>
  <si>
    <t>УТ000047228</t>
  </si>
  <si>
    <t>Батарейка Robiton Profi CR2032 VP2M1 с выводами под пайку (упак. 5шт.)</t>
  </si>
  <si>
    <t>УТ000047229</t>
  </si>
  <si>
    <t>Батарейка Robiton Profi CR2320 BL-1</t>
  </si>
  <si>
    <t>УТ000047230</t>
  </si>
  <si>
    <t>Батарейка Robiton Profi CR2325 BL-1</t>
  </si>
  <si>
    <t>УТ000047231</t>
  </si>
  <si>
    <t>Батарейка Robiton Profi CR2330 BL-1</t>
  </si>
  <si>
    <t>УТ000047232</t>
  </si>
  <si>
    <t>Батарейка Robiton Profi CR2354 BL-1</t>
  </si>
  <si>
    <t>УТ000047233</t>
  </si>
  <si>
    <t>Батарейка Robiton Profi CR2430 BL-1</t>
  </si>
  <si>
    <t>УТ000047234</t>
  </si>
  <si>
    <t>Батарейка Robiton Profi CR2450 BL-1</t>
  </si>
  <si>
    <t>УТ000050813</t>
  </si>
  <si>
    <t>Батарейка Robiton Profi CR2450 HB5.5/20.5 3В с выводами под пайку (5)</t>
  </si>
  <si>
    <t>УТ000050814</t>
  </si>
  <si>
    <t>Батарейка Robiton Profi CR2450 HP2M1 3В с выводами под пайку (5)</t>
  </si>
  <si>
    <t>00100037856</t>
  </si>
  <si>
    <t>Батарейка Samsung Pleomax CR2016 BL-5</t>
  </si>
  <si>
    <t>00100037857</t>
  </si>
  <si>
    <t>Батарейка Samsung Pleomax CR2025 BL-5</t>
  </si>
  <si>
    <t>00100037858</t>
  </si>
  <si>
    <t>Батарейка Samsung Pleomax CR2032 BL-5</t>
  </si>
  <si>
    <t>УТ000012841</t>
  </si>
  <si>
    <t>Батарейка SmartBuy CR1216 BL-1</t>
  </si>
  <si>
    <t>УТ000012842</t>
  </si>
  <si>
    <t>Батарейка SmartBuy CR1220 BL-1</t>
  </si>
  <si>
    <t>УТ000012843</t>
  </si>
  <si>
    <t>Батарейка SmartBuy CR1225 BL-1</t>
  </si>
  <si>
    <t>УТ000012844</t>
  </si>
  <si>
    <t>Батарейка SmartBuy CR1616 BL-1</t>
  </si>
  <si>
    <t>УТ000012845</t>
  </si>
  <si>
    <t>Батарейка SmartBuy CR1620 BL-1</t>
  </si>
  <si>
    <t>УТ000012846</t>
  </si>
  <si>
    <t>Батарейка SmartBuy CR1632 BL-1</t>
  </si>
  <si>
    <t>УТ000009608</t>
  </si>
  <si>
    <t>Батарейка SmartBuy CR2016 BL-5</t>
  </si>
  <si>
    <t>УТ000009609</t>
  </si>
  <si>
    <t>Батарейка SmartBuy CR2025 BL-5</t>
  </si>
  <si>
    <t>УТ000018143</t>
  </si>
  <si>
    <t>Батарейка SmartBuy CR2032 BL-1 (12)</t>
  </si>
  <si>
    <t>УТ000009610</t>
  </si>
  <si>
    <t>Батарейка SmartBuy CR2032 BL-5 (100)</t>
  </si>
  <si>
    <t>УТ000012848</t>
  </si>
  <si>
    <t>Батарейка SmartBuy CR2430 BL-5</t>
  </si>
  <si>
    <t>УТ000015359</t>
  </si>
  <si>
    <t>Батарейка SmartBuy CR2450 BL-5 (100)</t>
  </si>
  <si>
    <t>УТ000035313</t>
  </si>
  <si>
    <t>Батарейка Varta CR1/3N BL-1</t>
  </si>
  <si>
    <t>УТ000037550</t>
  </si>
  <si>
    <t>Батарейка Varta CR2016 BL-1 (10)</t>
  </si>
  <si>
    <t>УТ000037551</t>
  </si>
  <si>
    <t>Батарейка Varta CR2025 BL-1 (10)</t>
  </si>
  <si>
    <t>УТ000034458</t>
  </si>
  <si>
    <t>Батарейка Varta CR2032 BL-1 (10)</t>
  </si>
  <si>
    <t xml:space="preserve"> Батарейки дисковые, часовые</t>
  </si>
  <si>
    <t xml:space="preserve"> Алкалиновые часовые</t>
  </si>
  <si>
    <t>УТ000029572</t>
  </si>
  <si>
    <t>Батарейка Camelion G00 Mercury Free (379A/LR521) BL-10 (100)</t>
  </si>
  <si>
    <t>УТ000028318</t>
  </si>
  <si>
    <t>Батарейка Camelion G01 Mercury Free (364A/LR621/164) BL-10 (100)</t>
  </si>
  <si>
    <t>УТ000030412</t>
  </si>
  <si>
    <t>Батарейка Camelion G02 Mercury Free (396A/LR726/196) BL-10 (100)</t>
  </si>
  <si>
    <t>УТ000019657</t>
  </si>
  <si>
    <t>Батарейка Camelion G03 Mercury Free (392A/LR41/192) BL-10 (100)</t>
  </si>
  <si>
    <t>УТ000020849</t>
  </si>
  <si>
    <t>Батарейка Camelion G04 Mercury Free (377A/LR626/177) BL-10 (100)</t>
  </si>
  <si>
    <t>УТ000019203</t>
  </si>
  <si>
    <t>Батарейка Camelion G05 Mercury Free (393A/LR754/193) BL-10 (100)</t>
  </si>
  <si>
    <t>УТ000028835</t>
  </si>
  <si>
    <t>Батарейка Camelion G06 Mercury Free (371A/LR921/171) BL-10 (100)</t>
  </si>
  <si>
    <t>УТ000028335</t>
  </si>
  <si>
    <t>Батарейка Camelion G07 Mercury Free (395A/LR926/195) BL-10 (100)</t>
  </si>
  <si>
    <t>УТ000028319</t>
  </si>
  <si>
    <t>Батарейка Camelion G08 Mercury Free (391A/LR1120/191) BL-10 (100)</t>
  </si>
  <si>
    <t>УТ000028834</t>
  </si>
  <si>
    <t>Батарейка Camelion G09 Mercury Free (394A/LR936/194) BL-10 (100)</t>
  </si>
  <si>
    <t>УТ000018142</t>
  </si>
  <si>
    <t>Батарейка Camelion G10 Mercury Free (389A/LR1130/189) BL-10 (100)</t>
  </si>
  <si>
    <t>УТ000028334</t>
  </si>
  <si>
    <t>Батарейка Camelion G11 Mercury Free (362A/LR721/162) BL-10 (100)</t>
  </si>
  <si>
    <t>УТ000028836</t>
  </si>
  <si>
    <t>Батарейка Camelion G12 Mercury Free (386A/LR43/186) BL-10 (100)</t>
  </si>
  <si>
    <t>УТ000020850</t>
  </si>
  <si>
    <t>Батарейка Camelion G13 Mercury Free (357A/LR44/А76) BL-10 (100)</t>
  </si>
  <si>
    <t>УТ000019103</t>
  </si>
  <si>
    <t>Батарейка Defender G01 (364A/LR621/164) BL-10 (200)</t>
  </si>
  <si>
    <t>УТ000059196</t>
  </si>
  <si>
    <t>Батарейка Duracell G13 (357A/LR44/А76) BL-10 РСТ (100)</t>
  </si>
  <si>
    <t>УТ000048067</t>
  </si>
  <si>
    <t>Батарейка GP G03 (392A/LR736) BL-10</t>
  </si>
  <si>
    <t>УТ000040130</t>
  </si>
  <si>
    <t>Батарейка GP G04 (377A/LR626) BL-10</t>
  </si>
  <si>
    <t>УТ000040131</t>
  </si>
  <si>
    <t>Батарейка GP G10 (389A/LR54, LR1130) BL-10</t>
  </si>
  <si>
    <t>УТ000052593</t>
  </si>
  <si>
    <t>Батарейка Robiton G0 BL-5 (100)</t>
  </si>
  <si>
    <t>УТ000052594</t>
  </si>
  <si>
    <t>Батарейка Robiton G01 BL-5 (100)</t>
  </si>
  <si>
    <t>УТ000052595</t>
  </si>
  <si>
    <t>Батарейка Robiton G02 BL-5 (100)</t>
  </si>
  <si>
    <t>УТ000047235</t>
  </si>
  <si>
    <t>Батарейка Robiton G03 BL-5 (100)</t>
  </si>
  <si>
    <t>УТ000047236</t>
  </si>
  <si>
    <t>Батарейка Robiton G04 BL-5 (100)</t>
  </si>
  <si>
    <t>УТ000047237</t>
  </si>
  <si>
    <t>Батарейка Robiton G05 BL-5 (100)</t>
  </si>
  <si>
    <t>УТ000052596</t>
  </si>
  <si>
    <t>Батарейка Robiton G06 BL-5 (100)</t>
  </si>
  <si>
    <t>УТ000052597</t>
  </si>
  <si>
    <t>Батарейка Robiton G07 BL-5 (100)</t>
  </si>
  <si>
    <t>УТ000052598</t>
  </si>
  <si>
    <t>Батарейка Robiton G08 BL-5 (100)</t>
  </si>
  <si>
    <t>УТ000052599</t>
  </si>
  <si>
    <t>Батарейка Robiton G09 BL-5 (100)</t>
  </si>
  <si>
    <t>УТ000053961</t>
  </si>
  <si>
    <t>Батарейка Robiton G11 BL-5 (100)</t>
  </si>
  <si>
    <t>УТ000047240</t>
  </si>
  <si>
    <t>Батарейка Robiton G13 BL-3 (60)</t>
  </si>
  <si>
    <t>УТ000010103</t>
  </si>
  <si>
    <t>Батарейка SmartBuy G00  BL-10 (100)</t>
  </si>
  <si>
    <t>УТ000010109</t>
  </si>
  <si>
    <t>Батарейка SmartBuy G02  BL-10 (100)</t>
  </si>
  <si>
    <t>УТ000010111</t>
  </si>
  <si>
    <t>Батарейка SmartBuy G04  BL-10 (100)</t>
  </si>
  <si>
    <t>УТ000010112</t>
  </si>
  <si>
    <t>Батарейка SmartBuy G05  BL-10 (100)</t>
  </si>
  <si>
    <t>УТ000010113</t>
  </si>
  <si>
    <t>Батарейка SmartBuy G06  BL-10 (100)</t>
  </si>
  <si>
    <t>УТ000010115</t>
  </si>
  <si>
    <t>Батарейка SmartBuy G08  BL-10 (100)</t>
  </si>
  <si>
    <t>УТ000010116</t>
  </si>
  <si>
    <t>Батарейка SmartBuy G09  BL-10 (100)</t>
  </si>
  <si>
    <t>УТ000010106</t>
  </si>
  <si>
    <t>Батарейка SmartBuy G11  BL-10 (200)</t>
  </si>
  <si>
    <t>УТ000010107</t>
  </si>
  <si>
    <t>Батарейка SmartBuy G12  BL-10 (100)</t>
  </si>
  <si>
    <t>УТ000010108</t>
  </si>
  <si>
    <t>Батарейка SmartBuy G13  BL-10 (200)</t>
  </si>
  <si>
    <t>УТ000008940</t>
  </si>
  <si>
    <t>Батарейка VIDEX G09 (394A/LR936/194) BL-10 (100)</t>
  </si>
  <si>
    <t xml:space="preserve"> Батарейки цилиндрические, литиевые</t>
  </si>
  <si>
    <t>УТ000049437</t>
  </si>
  <si>
    <t>Батарейка ER14250 1/2AA 3,6В PH, LiSOCl21, Robiton с плоскими выводами PK1</t>
  </si>
  <si>
    <t>УТ000034415</t>
  </si>
  <si>
    <t>Батарейка ER14505 AA 3,6В PH1Robiton</t>
  </si>
  <si>
    <t xml:space="preserve"> Блоки питания</t>
  </si>
  <si>
    <t xml:space="preserve"> Блоки питания сетевые, с регулировкой напряжения</t>
  </si>
  <si>
    <t>УТ000045005</t>
  </si>
  <si>
    <t>Блок питания регулируемый  1,5-12V, 1000mA, 6 насадок, TW-003</t>
  </si>
  <si>
    <t>УТ000027937</t>
  </si>
  <si>
    <t>Блок питания регулируемый  1,5-12В, 500мА, XINGMA XM-500D</t>
  </si>
  <si>
    <t>УТ000055561</t>
  </si>
  <si>
    <t>Блок питания регулируемый  3-12V, 2000mA, штекер 5,5х2,5мм, OT-APB114</t>
  </si>
  <si>
    <t>УТ000055562</t>
  </si>
  <si>
    <t>Блок питания регулируемый  3-12V, 2000mA, штекер 5,5х2,5мм, OT-APB115</t>
  </si>
  <si>
    <t>УТ000026041</t>
  </si>
  <si>
    <t>Блок питания регулируемый  3-12V, 2100mA, 6 насадок, LP-1000</t>
  </si>
  <si>
    <t>УТ000055848</t>
  </si>
  <si>
    <t>Блок питания регулируемый  3-12V, 3000mA, 8 насадок, LP-80</t>
  </si>
  <si>
    <t>УТ000050532</t>
  </si>
  <si>
    <t>Блок питания регулируемый  3-12V, 5000mA, штекер 5,5х2,5мм, цифровой вольтметр, Live-Power LP-397</t>
  </si>
  <si>
    <t>УТ000056553</t>
  </si>
  <si>
    <t>Блок питания регулируемый  3-24V, 2000mA, штекер 5,5х2,5мм, OT-APB105</t>
  </si>
  <si>
    <t>УТ000026043</t>
  </si>
  <si>
    <t>Блок питания регулируемый 12-24V, 1500mA, 8 насадок, LP-507</t>
  </si>
  <si>
    <t xml:space="preserve"> Блоки питания сетевые, с фиксированным напряжением</t>
  </si>
  <si>
    <t>УТ000037413</t>
  </si>
  <si>
    <t>Блок питания  3В,  800мА, штекер 2pin, MRM-Power 328</t>
  </si>
  <si>
    <t>УТ000033433</t>
  </si>
  <si>
    <t>Блок питания  3В, 2000мА, штекер 5,5х2,5мм, AP-305 (OT-APB21)</t>
  </si>
  <si>
    <t>УТ000057685</t>
  </si>
  <si>
    <t>Блок питания  3В, 2000мА, штекер 5,5х2,5мм, Live-Power SP-32</t>
  </si>
  <si>
    <t>УТ000052499</t>
  </si>
  <si>
    <t>Блок питания  3В, 2000мА, штекер 5,5х2,5мм, LP-32</t>
  </si>
  <si>
    <t>УТ000050847</t>
  </si>
  <si>
    <t>Блок питания  5.5В,  500мА штекер 5,5х2,5мм, PNLV226CE</t>
  </si>
  <si>
    <t>УТ000049823</t>
  </si>
  <si>
    <t>Блок питания  5В, 1000мА USB, LP-100</t>
  </si>
  <si>
    <t>УТ000027917</t>
  </si>
  <si>
    <t>Блок питания  5В, 1000мА, штекер 3,5х1,35мм, Live-Power LP-29</t>
  </si>
  <si>
    <t>УТ000058707</t>
  </si>
  <si>
    <t>Блок питания  5В, 1500мА, штекер 2,5х0,7мм, Live-Power LP-02</t>
  </si>
  <si>
    <t>УТ000018157</t>
  </si>
  <si>
    <t>Блок питания  5В, 1500мА, штекер 5,5х2,5мм, OT-APB23</t>
  </si>
  <si>
    <t>УТ000046531</t>
  </si>
  <si>
    <t>Блок питания  5В, 2000мА, сдвоенный штекер 5.5*2.5/4.0*1.7, AF-502</t>
  </si>
  <si>
    <t>УТ000041072</t>
  </si>
  <si>
    <t>Блок питания  5В, 2000мА, штекер 2,5мм, OT-APB83</t>
  </si>
  <si>
    <t>УТ000027916</t>
  </si>
  <si>
    <t>Блок питания  5В, 2000мА, штекер 2,5х0,7мм, Live-Power LP-25</t>
  </si>
  <si>
    <t>УТ000049900</t>
  </si>
  <si>
    <t>Блок питания  5В, 2000мА, штекер 3.5*1.35, Dream HD8869</t>
  </si>
  <si>
    <t>УТ000026193</t>
  </si>
  <si>
    <t>Блок питания  5В, 2000мА, штекер 5,5х2,1мм MRM-Power 0502</t>
  </si>
  <si>
    <t>УТ000029084</t>
  </si>
  <si>
    <t>Блок питания  5В, 2000мА, штекер 5,5х2,1мм, Live-Power LP-70</t>
  </si>
  <si>
    <t>УТ000049508</t>
  </si>
  <si>
    <t>Блок питания  5В, 2000мА, штекер 5,5х2,5мм + 2 насадки (4,0x1,7мм/3,5x1,35) Live-Power LP-111</t>
  </si>
  <si>
    <t>УТ000057071</t>
  </si>
  <si>
    <t>Блок питания  5В, 2000мА, штекер 5,5х2,5мм, HKY66</t>
  </si>
  <si>
    <t>УТ000056895</t>
  </si>
  <si>
    <t>Блок питания  5В, 2000мА, штекер 5,5х2,5мм, Live-Power LP-172</t>
  </si>
  <si>
    <t>УТ000049182</t>
  </si>
  <si>
    <t>Блок питания  5В, 2000мА, штекер 5.5*2.5, Dream HD8865</t>
  </si>
  <si>
    <t>УТ000003987</t>
  </si>
  <si>
    <t>Блок питания  5В, 2500мА, штекер 3,5х1,35мм, OT-APB18</t>
  </si>
  <si>
    <t>УТ000029840</t>
  </si>
  <si>
    <t>Блок питания  5В, 2500мА, штекер 5,5х2,5мм, Live-Power LP-33</t>
  </si>
  <si>
    <t>УТ000046389</t>
  </si>
  <si>
    <t>Блок питания  5В, 2500мА, штекер 5.5*2.5мм  AP-302 (OT-APB19) белый</t>
  </si>
  <si>
    <t>УТ000003988</t>
  </si>
  <si>
    <t>Блок питания  5В, 2500мА, штекер 5.5*2.5мм, чёрный, OT-APB19</t>
  </si>
  <si>
    <t>УТ000055008</t>
  </si>
  <si>
    <t>Блок питания  5В, 3000мА, штекер 3,5х1,35мм, Live-Power LP-31</t>
  </si>
  <si>
    <t>УТ000056897</t>
  </si>
  <si>
    <t>Блок питания  5В, 3000мА, штекер 5,5х2,5мм, Live-Power LP-185</t>
  </si>
  <si>
    <t>УТ000026711</t>
  </si>
  <si>
    <t>Блок питания  5В, 3000мА, штекер 5,5х2,5мм, Live-Power LP-27</t>
  </si>
  <si>
    <t>УТ000009447</t>
  </si>
  <si>
    <t>Блок питания  5В, 3000мА, штекер 5,5х2,5мм, OT-APB46</t>
  </si>
  <si>
    <t>УТ000053480</t>
  </si>
  <si>
    <t>Блок питания  5В, 3000мА, штекер 5.5*2.5, Dream HD8865-3А</t>
  </si>
  <si>
    <t>УТ000018158</t>
  </si>
  <si>
    <t>Блок питания  6В, 1000мА, штекер 3,5х1,35мм, OT-APB29</t>
  </si>
  <si>
    <t>УТ000018159</t>
  </si>
  <si>
    <t>Блок питания  6В, 1000мА, штекер 5,5х2,5мм, OT-APB30</t>
  </si>
  <si>
    <t>УТ000056402</t>
  </si>
  <si>
    <t>Блок питания  6В, 2000мА, штекер 4,0x1,7мм, Live-Power LP-174</t>
  </si>
  <si>
    <t>УТ000050160</t>
  </si>
  <si>
    <t>Блок питания  6В, 2000мА, штекер 5,5х2,5мм, Live-Power LP-10</t>
  </si>
  <si>
    <t>УТ000056898</t>
  </si>
  <si>
    <t>Блок питания  6В, 2000мА, штекер 5,5х2,5мм, Live-Power LP-173</t>
  </si>
  <si>
    <t>УТ000029261</t>
  </si>
  <si>
    <t>Блок питания  6В, 2000мА, штекер 5,5х2,5мм, OT-APB22</t>
  </si>
  <si>
    <t>УТ000056247</t>
  </si>
  <si>
    <t>Блок питания  6В, 2000мА, штекер 5,5х2,5мм, ZERRO 620</t>
  </si>
  <si>
    <t>УТ000049511</t>
  </si>
  <si>
    <t>Блок питания  7,5В, 2000мА, штекер 5,5х2,5мм, Live-Power LP-104</t>
  </si>
  <si>
    <t>УТ000035012</t>
  </si>
  <si>
    <t>Блок питания  7,7В, 500мА, штекер 5,5х2,5мм, MRM-Power 77</t>
  </si>
  <si>
    <t>УТ000021806</t>
  </si>
  <si>
    <t>Блок питания  9В, 1200мА, штекер 5,5х2,1мм, VD-927 (OT-APB47)</t>
  </si>
  <si>
    <t>УТ000021807</t>
  </si>
  <si>
    <t>Блок питания  9В, 2000мА, штекер 5,5х2,1мм, VD-928 (OT-APB48)</t>
  </si>
  <si>
    <t>УТ000056248</t>
  </si>
  <si>
    <t>Блок питания  9В, 2000мА, штекер 5,5х2,5мм,  ZERRO 920</t>
  </si>
  <si>
    <t>УТ000046455</t>
  </si>
  <si>
    <t>Блок питания  9В, 2000мА, штекер 5,5х2,5мм, Afkas-nova А-20</t>
  </si>
  <si>
    <t>УТ000056246</t>
  </si>
  <si>
    <t>Блок питания  9В, 2000мА, штекер 5,5х2,5мм, Dos-Gold D-13</t>
  </si>
  <si>
    <t>УТ000055128</t>
  </si>
  <si>
    <t>Блок питания  9В, 2000мА, штекер 5,5х2,5мм, Live-Power LP-161</t>
  </si>
  <si>
    <t>УТ000021809</t>
  </si>
  <si>
    <t>Блок питания  9В, 2000мА, штекер 5,5х2,5мм, VD-932 (OT-APB51)</t>
  </si>
  <si>
    <t>УТ000058036</t>
  </si>
  <si>
    <t>Блок питания  9В, 500мА, штекер 5,5х2,5мм, Dos-Gold D-14</t>
  </si>
  <si>
    <t>УТ000058641</t>
  </si>
  <si>
    <t>Блок питания 12,5V, 2000mA, штекер 5,5х2,5мм, OT-APB108</t>
  </si>
  <si>
    <t>УТ000058644</t>
  </si>
  <si>
    <t>Блок питания 12,6V, 2000mA, штекер 5,5х2,5мм, OT-APB109</t>
  </si>
  <si>
    <t>УТ000058683</t>
  </si>
  <si>
    <t>Блок питания 12В, 1000мA, штекер 5,5х2,1мм, Live-Power SP-71</t>
  </si>
  <si>
    <t>УТ000026719</t>
  </si>
  <si>
    <t>Блок питания 12В, 1000мA, штекер 5,5х2,5мм, Live-Power LP-43</t>
  </si>
  <si>
    <t>УТ000016248</t>
  </si>
  <si>
    <t>Блок питания 12В, 1000мА, штекер 5,5x2,1мм, черный, OT-APB42</t>
  </si>
  <si>
    <t>УТ000022725</t>
  </si>
  <si>
    <t>Блок питания 12В, 1200мА, штекер 3,5х1,35мм, VD-929 (OT-APB49)</t>
  </si>
  <si>
    <t>УТ000040140</t>
  </si>
  <si>
    <t>Блок питания 12В, 12500мА, штекер 5,5х2,5мм, OT-APB24 150Вт</t>
  </si>
  <si>
    <t>УТ000026721</t>
  </si>
  <si>
    <t>Блок питания 12В, 1500мА, штекер 5,5х2,5мм, Live-Power LP-73</t>
  </si>
  <si>
    <t>УТ000058684</t>
  </si>
  <si>
    <t>Блок питания 12В, 1500мА, штекер 5,5х2,5мм, Live-Power SP-73</t>
  </si>
  <si>
    <t>УТ000057069</t>
  </si>
  <si>
    <t>Блок питания 12В, 2000mA, штекер 5,5х2,5мм, HKY67</t>
  </si>
  <si>
    <t>УТ000019848</t>
  </si>
  <si>
    <t>Блок питания 12В, 2000мА, сдвоенный штекер 5.5x2.5/4.0x1.7 RGB-315</t>
  </si>
  <si>
    <t>УТ000015688</t>
  </si>
  <si>
    <t>Блок питания 12В, 2000мА, сдвоенный штекер 5.5x2.5/4.0x1.7 RGB-325</t>
  </si>
  <si>
    <t>УТ000051717</t>
  </si>
  <si>
    <t>Блок питания 12В, 2000мА, штекер 3,0x1,1мм, LP-108</t>
  </si>
  <si>
    <t>УТ000025273</t>
  </si>
  <si>
    <t>Блок питания 12В, 2000мА, штекер 3,5х1,35мм, OT-APB50</t>
  </si>
  <si>
    <t>УТ000026720</t>
  </si>
  <si>
    <t>Блок питания 12В, 2000мА, штекер 4,0x1,7мм, Live-Power LP-63</t>
  </si>
  <si>
    <t>УТ000029085</t>
  </si>
  <si>
    <t>Блок питания 12В, 2000мА, штекер 5,5х2,1мм</t>
  </si>
  <si>
    <t>УТ000052919</t>
  </si>
  <si>
    <t>Блок питания 12В, 2000мА, штекер 5,5х2,5мм + 4,0x1,7мм</t>
  </si>
  <si>
    <t>УТ000058626</t>
  </si>
  <si>
    <t>Блок питания 12В, 2000мА, штекер 5,5х2,5мм, Live-Power LP-196, белый</t>
  </si>
  <si>
    <t>УТ000050525</t>
  </si>
  <si>
    <t>Блок питания 12В, 2000мА, штекер 5,5х2,5мм, Live-Power LP-30</t>
  </si>
  <si>
    <t>УТ000016250</t>
  </si>
  <si>
    <t>Блок питания 12В, 2000мА, штекер 5,5х2,5мм, OT-APB84</t>
  </si>
  <si>
    <t>УТ000013181</t>
  </si>
  <si>
    <t>Блок питания 12В, 2000мА, штекер 5,5х2,5мм, белый OT-APB31</t>
  </si>
  <si>
    <t>УТ000050826</t>
  </si>
  <si>
    <t>Блок питания 12В, 2000мА, штекер 5,5х2,5мм, крепление на стену GL-12050</t>
  </si>
  <si>
    <t>УТ000032741</t>
  </si>
  <si>
    <t>Блок питания 12В, 2000мА, штекер 5,5х2,5мм, крепление на стену OT-APB58</t>
  </si>
  <si>
    <t>УТ000053581</t>
  </si>
  <si>
    <t>Блок питания 12В, 2500мА, штекер 3,5х1,35мм, Live-Power LP-21</t>
  </si>
  <si>
    <t>УТ000026715</t>
  </si>
  <si>
    <t>Блок питания 12В, 3000мА, штекер 5,5х2,5мм кабель питания C7 LP-360</t>
  </si>
  <si>
    <t>УТ000050524</t>
  </si>
  <si>
    <t>Блок питания 12В, 3000мА, штекер 5,5х2,5мм, Live-Power LP-224</t>
  </si>
  <si>
    <t>УТ000052345</t>
  </si>
  <si>
    <t>Блок питания 12В, 3000мА, штекер 5,5х2,5мм, YDT-1230</t>
  </si>
  <si>
    <t>УТ000045675</t>
  </si>
  <si>
    <t>Блок питания 12В, 3000мА, штекер 5,5х2,5мм, белый, OT-APB41</t>
  </si>
  <si>
    <t>УТ000032740</t>
  </si>
  <si>
    <t>Блок питания 12В, 38W 3000мА, штекер 5,5х2,5мм, OT-APB57 (для светодиодной ленты)</t>
  </si>
  <si>
    <t>УТ000027920</t>
  </si>
  <si>
    <t>Блок питания 12В, 4000мА, штекер 5,5х2,5мм, Live-Power LP-354</t>
  </si>
  <si>
    <t>УТ000054234</t>
  </si>
  <si>
    <t>Блок питания 12В, 5000мА, штекер 5,5х2,5мм, Live-Power LP-179</t>
  </si>
  <si>
    <t>УТ000046390</t>
  </si>
  <si>
    <t>Блок питания 12В, 5000мА, штекер 5,5х2,5мм, OT-APB37 белый</t>
  </si>
  <si>
    <t>УТ000018161</t>
  </si>
  <si>
    <t>Блок питания 12В, 5000мА, штекер 5,5х2,5мм, OT-APB37 черный</t>
  </si>
  <si>
    <t>УТ000026717</t>
  </si>
  <si>
    <t>Блок питания 12В, 6000мА, штекер 5,5х2,5мм, Live-Power LP-41</t>
  </si>
  <si>
    <t>УТ000029847</t>
  </si>
  <si>
    <t>Блок питания 17В, 2000мА, штекер 5,5х2,5мм, LP-49</t>
  </si>
  <si>
    <t>УТ000029086</t>
  </si>
  <si>
    <t>Блок питания 17В, 3000мА, штекер 5,5х2,5мм, Live-Power LP-50</t>
  </si>
  <si>
    <t>УТ000029848</t>
  </si>
  <si>
    <t>Блок питания 17В, 4000мА, штекер 5,5х2,5мм, Live-Power LP-51</t>
  </si>
  <si>
    <t>УТ000027932</t>
  </si>
  <si>
    <t>Блок питания 19В, 3420mA, 28 насадок, Live-Power LP-520</t>
  </si>
  <si>
    <t>УТ000057864</t>
  </si>
  <si>
    <t>Блок питания 20В, 3250мА (3.25A), штекер 5.5*2.5мм , подходит для Яндекс станции МАКС</t>
  </si>
  <si>
    <t>УТ000027919</t>
  </si>
  <si>
    <t>Блок питания 20В, 4500мА, штекер USB, Live-Power LP-335</t>
  </si>
  <si>
    <t>УТ000046574</t>
  </si>
  <si>
    <t>Блок питания 24В, 1000мА, штекер 5,5х2,5мм, SC-A241 (LP-14)</t>
  </si>
  <si>
    <t>УТ000033264</t>
  </si>
  <si>
    <t>Блок питания 24В, 1200мА, штекер 5,5х2,5мм, OT-APB55</t>
  </si>
  <si>
    <t>УТ000056438</t>
  </si>
  <si>
    <t>Блок питания 24В, 2000мA, штекер 5,5х2,5мм, OT-APB113, индикатор питания</t>
  </si>
  <si>
    <t>УТ000029851</t>
  </si>
  <si>
    <t>Блок питания 24В, 2000мА, штекер 5,5х2,5мм, Live-Power LP-15 C7</t>
  </si>
  <si>
    <t>УТ000034003</t>
  </si>
  <si>
    <t>Блок питания 24В, 2000мА, штекер 5,5х2,5мм, OT-APB56</t>
  </si>
  <si>
    <t>УТ000029087</t>
  </si>
  <si>
    <t>Блок питания 24В, 3000мА, штекер 5,5х2,5мм, Live-Power LP-16</t>
  </si>
  <si>
    <t>УТ000029852</t>
  </si>
  <si>
    <t>Блок питания 24В, 4000мА, штекер 5,5х2,5мм, Live-Power LP-17</t>
  </si>
  <si>
    <t>УТ000055847</t>
  </si>
  <si>
    <t>Блок питания 30В, 3000мА, штекер 5,5х2,5мм, LP-38</t>
  </si>
  <si>
    <t>УТ000029854</t>
  </si>
  <si>
    <t>Блок питания 36В, 2000мА, штекер 5,5х2,5мм, Live-Power LP-60</t>
  </si>
  <si>
    <t>УТ000057005</t>
  </si>
  <si>
    <t>Блок питания 5В, 2000мА, штекер 5,5х2,5мм</t>
  </si>
  <si>
    <t>УТ000050520</t>
  </si>
  <si>
    <t>Блок питания 5В, 2000мА, штекер 5,5х2,5мм LP-86</t>
  </si>
  <si>
    <t>УТ000058627</t>
  </si>
  <si>
    <t>Блок питания 6В, 2000мА, штекер 5,5x2,5мм, Live-Power LP-188</t>
  </si>
  <si>
    <t xml:space="preserve"> Блоки питания сетевые, с фиксированным напряжением, обратная полярность</t>
  </si>
  <si>
    <t>УТ000056071</t>
  </si>
  <si>
    <t>Блок питания 6В, 1500мА, штекер 4,0x1,7мм  внешн(+) внутр(-) для тонометров Live-Power LP -197</t>
  </si>
  <si>
    <t>УТ000053162</t>
  </si>
  <si>
    <t>Блок питания 9В, 1000мА, штекер 5,5х2,5мм (внут."-" вн "+")</t>
  </si>
  <si>
    <t>УТ000054029</t>
  </si>
  <si>
    <t>Блок питания 9В, 2000мА, штекер 5,5х2,5мм (внут."-" вн "+")</t>
  </si>
  <si>
    <t xml:space="preserve"> Блоки питания, гнездо прикуривателя</t>
  </si>
  <si>
    <t>УТ000053476</t>
  </si>
  <si>
    <t>Блок питания 12В  2000мА, гнездо прикуривателя  Dream A2</t>
  </si>
  <si>
    <t>УТ000027234</t>
  </si>
  <si>
    <t>Блок питания 12В  2000мА, крокодилы OT-APZ04</t>
  </si>
  <si>
    <t>УТ000057868</t>
  </si>
  <si>
    <t>Блок питания 12В 15A на гнездо прикуривателя LP183</t>
  </si>
  <si>
    <t xml:space="preserve"> Зарядные устройства - AAA, LR3 - AAA, LR6</t>
  </si>
  <si>
    <t>УТ000037093</t>
  </si>
  <si>
    <t>Зарядное устройство 2xAAA, 2xAA, 6F22, автоматическое SmartBuy SBHC-503</t>
  </si>
  <si>
    <t>УТ000037094</t>
  </si>
  <si>
    <t>Зарядное устройство 4xAAA, 4xAA, 2x6F22, автоматическое SmartBuy SBHC-505</t>
  </si>
  <si>
    <t>УТ000048068</t>
  </si>
  <si>
    <t>Зарядное устройство KODAK  C8001B USB (K2AA/AAA)</t>
  </si>
  <si>
    <t>УТ000048069</t>
  </si>
  <si>
    <t>Зарядное устройство KODAK  C8002B USB (K4AA/AAA)</t>
  </si>
  <si>
    <t>УТ000047917</t>
  </si>
  <si>
    <t>Зарядное устройство Perfeo PF-VN-420 (4*AA/AAA)</t>
  </si>
  <si>
    <t>УТ000047918</t>
  </si>
  <si>
    <t>Зарядное устройство Perfeo PF-VN-421, таймер (4*AA/AAA/9V)</t>
  </si>
  <si>
    <t>00410052495</t>
  </si>
  <si>
    <t>Зарядное устройство Космос КОС 501(2хАА/ААА, 9v)</t>
  </si>
  <si>
    <t>УТ000058333</t>
  </si>
  <si>
    <t>Зарядное устройство Космос КОС 803USB(1-4 АА/ААА) питание от USB шнур</t>
  </si>
  <si>
    <t>УТ000058334</t>
  </si>
  <si>
    <t>Зарядное устройство Космос КОС 901USB(1-2 АА/ААА) питание от USB шнур, автомат</t>
  </si>
  <si>
    <t xml:space="preserve"> Зарядные устройства для литий-ионных аккумуляторов - 18650</t>
  </si>
  <si>
    <t>УТ000056574</t>
  </si>
  <si>
    <t>Зарядное устройство 18650 HD-088A HONG DONG</t>
  </si>
  <si>
    <t>УТ000034014</t>
  </si>
  <si>
    <t>Зарядное устройство 18650 Liitokala на 2 аккум. 220-12V USB Lii-300</t>
  </si>
  <si>
    <t>УТ000032742</t>
  </si>
  <si>
    <t>Зарядное устройство 18650 Liitokala на 4 аккум. 220-12V USB Lii-500</t>
  </si>
  <si>
    <t>УТ000037095</t>
  </si>
  <si>
    <t>Зарядное устройство 18650, 17335, 14500, 16500,17650 SmartBuy SBHC-511</t>
  </si>
  <si>
    <t>УТ000045341</t>
  </si>
  <si>
    <t>Зарядное устройство 18650, индикатор заряда, на 1 аккумулятор</t>
  </si>
  <si>
    <t>УТ000045347</t>
  </si>
  <si>
    <t>Зарядное устройство 18650, индикатор заряда, на 1 аккумулятор OT-APZ15</t>
  </si>
  <si>
    <t>УТ000045345</t>
  </si>
  <si>
    <t>Зарядное устройство 18650, индикатор заряда, на 2 аккумулятора OT-APZ13</t>
  </si>
  <si>
    <t>УТ000045348</t>
  </si>
  <si>
    <t>Зарядное устройство 18650, индикатор заряда, на 2 аккумулятора OT-APZ16</t>
  </si>
  <si>
    <t>УТ000045342</t>
  </si>
  <si>
    <t>Зарядное устройство 18650, индикатор заряда, на 3 аккумулятора</t>
  </si>
  <si>
    <t>УТ000045343</t>
  </si>
  <si>
    <t>Зарядное устройство 18650, индикатор заряда, на 4 аккумулятора OT-APZ11</t>
  </si>
  <si>
    <t>УТ000045346</t>
  </si>
  <si>
    <t>Зарядное устройство 18650, индикатор заряда, на 4 аккумулятора OT-APZ14</t>
  </si>
  <si>
    <t>УТ000047353</t>
  </si>
  <si>
    <t>Зарядное устройство SmartBuy SBHC-513 (18650)</t>
  </si>
  <si>
    <t>УТ000042085</t>
  </si>
  <si>
    <t>Зарядное устройство для 18650, 16340, 14500, на 1 аккумулятор HD-8846</t>
  </si>
  <si>
    <t>УТ000044867</t>
  </si>
  <si>
    <t>Зарядное устройство для 18650, 16340, 14500, на 2 аккумулятора LP-8829</t>
  </si>
  <si>
    <t>УТ000058633</t>
  </si>
  <si>
    <t>Зарядное устройство для 18650, 16340, 14500, на 4 аккумулятора с дисплеем LP-8060</t>
  </si>
  <si>
    <t>УТ000034807</t>
  </si>
  <si>
    <t>Зарядное устройство для 18650, 26650, 16340, 14500, на 2 аккумулятора HD-8863</t>
  </si>
  <si>
    <t>УТ000058241</t>
  </si>
  <si>
    <t>Зарядное устройство для аккумулятора LP8030/8830  (18650) на 4-слота</t>
  </si>
  <si>
    <t>УТ000057333</t>
  </si>
  <si>
    <t>Зарядное устройство для аккумуляторов HD-132650  (26700/26650/18650/14500/16340) на 1-слот</t>
  </si>
  <si>
    <t>УТ000053804</t>
  </si>
  <si>
    <t>Зарядное устройство для аккумуляторов HD-232650  (26700/26650/18650/14500/16340) на 2-слота</t>
  </si>
  <si>
    <t>УТ000037792</t>
  </si>
  <si>
    <t>Зарядное устройство для аккумуляторов OT-APZ07 индикатор заряда, на 2 аккум., (18650/26650)</t>
  </si>
  <si>
    <t>УТ000042513</t>
  </si>
  <si>
    <t>Зарядное устройство для аккумуляторов OT-APZ08 индикатор заряда, на 1 аккум.</t>
  </si>
  <si>
    <t>УТ000051727</t>
  </si>
  <si>
    <t>Зарядное устройство для аккумуляторов на 2 слота (18650, 26650) дисплей, LP-8090</t>
  </si>
  <si>
    <t>УТ000051726</t>
  </si>
  <si>
    <t>Зарядное устройство для аккумуляторов на 4 слота (14500, 18650, 26650) дисплей, LP8070 (HD-8992A)</t>
  </si>
  <si>
    <t>УТ000030560</t>
  </si>
  <si>
    <t>Зарядное устройство для аккумуляторов Орбита 04U (OT-APZ03)</t>
  </si>
  <si>
    <t>УТ000058202</t>
  </si>
  <si>
    <t>Кабель Аудио 3,5 Jack - 3 RCA Джетт 1,5м</t>
  </si>
  <si>
    <t>УТ000034808</t>
  </si>
  <si>
    <t>СЗУ для аккумуляторов Dream HD-8866 (USB, 266500, 18650, 14500, 16340)</t>
  </si>
  <si>
    <t xml:space="preserve"> Зарядные устройства для литий-ионных аккумуляторов - штекер 5,5х2,5мм</t>
  </si>
  <si>
    <t>УТ000050522</t>
  </si>
  <si>
    <t>Блок питания 12.6В, 2000мА, штекер 5,5х2,5мм, контроллер заряда, Live-Power LP-116</t>
  </si>
  <si>
    <t>УТ000050527</t>
  </si>
  <si>
    <t>Блок питания 16.8В, 1000мА, штекер 5,5х2,5мм, контроллер заряда, Live-Power LP-117</t>
  </si>
  <si>
    <t xml:space="preserve"> Зарядные устройства для свинцово-кислотых аккумуляторов</t>
  </si>
  <si>
    <t>УТ000000711</t>
  </si>
  <si>
    <t>Зарядное устройство ROBITON LA2612-600 для аккум-ов 2В, 6В, 12В, зарядный ток 600мА</t>
  </si>
  <si>
    <t>УТ000046681</t>
  </si>
  <si>
    <t>Зарядное устройство ROBITON LAC12-500 для аккум-ов 12В, зарядный ток 500мА</t>
  </si>
  <si>
    <t>УТ000033798</t>
  </si>
  <si>
    <t>Зарядное устройство ROBITON LAC612-1000 для аккум-ов 6В, 12В, зарядный ток 1000мА, емкостью 4,5Ач-14Ач</t>
  </si>
  <si>
    <t xml:space="preserve"> Кабели, шнуры, переходники, конвертеры</t>
  </si>
  <si>
    <t xml:space="preserve"> Кабели аудио  Jaсk 6,3; 3,5; 2,5 ,  XLR ...</t>
  </si>
  <si>
    <t xml:space="preserve"> Кабель DIN 5  для ретро техники, аудио</t>
  </si>
  <si>
    <t>УТ000048813</t>
  </si>
  <si>
    <t>Кабель аудио DIN 5 pin - 2RCA штекер-штекер, 1.5м</t>
  </si>
  <si>
    <t>УТ000048814</t>
  </si>
  <si>
    <t>Кабель аудио DIN 5 pin - 3,5 jack штекер-штекер, 1.5м</t>
  </si>
  <si>
    <t>УТ000057829</t>
  </si>
  <si>
    <t>Кабель аудио DIN 5 pin - 3,5 jack штекер-штекер, gold, 1.5м</t>
  </si>
  <si>
    <t>УТ000050496</t>
  </si>
  <si>
    <t>Кабель аудио штекер 5DIN - штекер 5DIN 1.5м</t>
  </si>
  <si>
    <t>УТ000042222</t>
  </si>
  <si>
    <t>Кабель аудио штекер 5DIN - штекер 5DIN 1м</t>
  </si>
  <si>
    <t xml:space="preserve"> Кабель Jask  6,3 -…</t>
  </si>
  <si>
    <t>УТ000058687</t>
  </si>
  <si>
    <t>Кабель аудио 6,3 Jack - 6,3 Jack 2pin, штекер - штекер, 3M DREAM AU01</t>
  </si>
  <si>
    <t xml:space="preserve"> Кабель Jaсk 3,5 - Jack 3,5 (штекер - штекер)</t>
  </si>
  <si>
    <t>УТ000057281</t>
  </si>
  <si>
    <t>Кабель Аудио 3,5 Jack - 3,5 Jack  147 цветной фосфорный 1м (5)</t>
  </si>
  <si>
    <t>УТ000057092</t>
  </si>
  <si>
    <t>Кабель Аудио 3,5 Jack - 3,5 Jack 1,5м угловой, чёрный MR</t>
  </si>
  <si>
    <t>УТ000058424</t>
  </si>
  <si>
    <t>Кабель Аудио 3,5 Jack - 3,5 Jack 1.5м матерчатый, штекер металл, JD-373 (5)</t>
  </si>
  <si>
    <t>УТ000058422</t>
  </si>
  <si>
    <t>Кабель Аудио 3,5 Jack - 3,5 Jack 1.5м силиконовый, штекер металл, JD-128 (5)</t>
  </si>
  <si>
    <t>УТ000058423</t>
  </si>
  <si>
    <t>Кабель Аудио 3,5 Jack - 3,5 Jack 1м матерчатый, штекер металл, JD-295 (5)</t>
  </si>
  <si>
    <t>УТ000058425</t>
  </si>
  <si>
    <t>Кабель Аудио 3,5 Jack - 3,5 Jack 2м силиконовый, штекер металл, JD-458 (5)</t>
  </si>
  <si>
    <t>УТ000036704</t>
  </si>
  <si>
    <t>Кабель Аудио 3,5 Jack - 3,5 Jack 5м белый Krouss</t>
  </si>
  <si>
    <t>УТ000057058</t>
  </si>
  <si>
    <t>Кабель Аудио 3,5 Jack - 3,5 Jack AX10 1м белый</t>
  </si>
  <si>
    <t>УТ000052923</t>
  </si>
  <si>
    <t>Кабель Аудио 3,5 Jack - 3,5 Jack AX10 1м черный</t>
  </si>
  <si>
    <t>УТ000055154</t>
  </si>
  <si>
    <t>Кабель Аудио 3,5 Jack - 3,5 Jack AX16 1м серый</t>
  </si>
  <si>
    <t>УТ000058412</t>
  </si>
  <si>
    <t>Кабель Аудио 3,5 Jack - 3,5 Jack Borofone BL10, 1м, белый</t>
  </si>
  <si>
    <t>УТ000047458</t>
  </si>
  <si>
    <t>Кабель Аудио 3,5 Jack - 3,5 Jack Borofone BL6, белый</t>
  </si>
  <si>
    <t>УТ000056188</t>
  </si>
  <si>
    <t>Кабель Аудио 3,5 Jack - 3,5 Jack Carlive AX09 1м белый</t>
  </si>
  <si>
    <t>УТ000056189</t>
  </si>
  <si>
    <t>Кабель Аудио 3,5 Jack - 3,5 Jack Carlive AX09 2м белый</t>
  </si>
  <si>
    <t>УТ000039829</t>
  </si>
  <si>
    <t>Кабель Аудио 3,5 Jack - 3,5 Jack Dream JD237, 1м, черный</t>
  </si>
  <si>
    <t>УТ000039832</t>
  </si>
  <si>
    <t>Кабель Аудио 3,5 Jack - 3,5 Jack Dream JD238, 1,8м, черный</t>
  </si>
  <si>
    <t>УТ000047850</t>
  </si>
  <si>
    <t>Кабель Аудио 3,5 Jack - 3,5 Jack Dream KY76 1.5м чёрный</t>
  </si>
  <si>
    <t>УТ000037834</t>
  </si>
  <si>
    <t>Кабель Аудио 3,5 Jack - 3,5 Jack Dream KY76 1м черный</t>
  </si>
  <si>
    <t>УТ000055349</t>
  </si>
  <si>
    <t>Кабель Аудио 3,5 Jack - 3,5 Jack HOCO UPA15, с микрофоном, серый</t>
  </si>
  <si>
    <t>УТ000057559</t>
  </si>
  <si>
    <t>Кабель Аудио 3,5 Jack - 3,5 Jack HOCO UPA19, 1м, зелёный</t>
  </si>
  <si>
    <t>УТ000058415</t>
  </si>
  <si>
    <t>Кабель Аудио 3,5 Jack - 3,5 Jack HOCO UPA19, 1м, серебро</t>
  </si>
  <si>
    <t>УТ000049779</t>
  </si>
  <si>
    <t>Кабель Аудио 3,5 Jack - 3,5 Jack JD-503</t>
  </si>
  <si>
    <t>УТ000055471</t>
  </si>
  <si>
    <t>Кабель Аудио 3,5 Jack - 3,5 Jack JD-526 угловой  упак.5шт.</t>
  </si>
  <si>
    <t>УТ000057109</t>
  </si>
  <si>
    <t>Кабель Аудио 3,5 Jack - 3,5 Jack SmartBuy 1м A-35-35 blue нейлоновая оплётка</t>
  </si>
  <si>
    <t>УТ000057108</t>
  </si>
  <si>
    <t>Кабель Аудио 3,5 Jack - 3,5 Jack SmartBuy 1м A-35-35 red нейлоновая оплётка</t>
  </si>
  <si>
    <t>УТ000002122</t>
  </si>
  <si>
    <t>Кабель Аудио 3,5 Jack - 3,5 Jack Джетт 1,5м</t>
  </si>
  <si>
    <t>00000004252</t>
  </si>
  <si>
    <t>Кабель Аудио 3,5 Jack - 3,5 Jack Джетт 3м</t>
  </si>
  <si>
    <t>00000003900</t>
  </si>
  <si>
    <t>Кабель Аудио 3,5 Jack - 3,5 Jack Джетт 5м</t>
  </si>
  <si>
    <t>УТ000049033</t>
  </si>
  <si>
    <t>Кабель Аудио 3,5 Jack - 3,5 Jack Сигнал 1м</t>
  </si>
  <si>
    <t>УТ000049036</t>
  </si>
  <si>
    <t>Кабель Аудио 3,5 Jack - 3,5 Jack Сигнал 5м</t>
  </si>
  <si>
    <t>УТ000054965</t>
  </si>
  <si>
    <t>Кабель Аудио 3,5 Jack - 3,5 Jack угловой штекер 1м AX17 Carlive</t>
  </si>
  <si>
    <t>УТ000054966</t>
  </si>
  <si>
    <t>Кабель Аудио 3,5 Jack - 3,5 Jack угловой штекер 2м AX17 Carlive</t>
  </si>
  <si>
    <t>УТ000054294</t>
  </si>
  <si>
    <t>Кабель аудио Premium 3,5Jack - 3,5Jack, AUX, штекер-штекер, 1.5 метра, MG</t>
  </si>
  <si>
    <t xml:space="preserve"> Кабель Jaсk 3,5 - Plug 3,5 (штекер - гнездо)</t>
  </si>
  <si>
    <t>УТ000058182</t>
  </si>
  <si>
    <t>Кабель Аудио 3,5 Jack - 3,5 Plug 3pin, штекер-гнездо 3м DREAM FT01</t>
  </si>
  <si>
    <t>УТ000054295</t>
  </si>
  <si>
    <t>Кабель Аудио 3,5 Jack - 3,5 Plug 3pin, штекер-гнездо, 1,5м, металл, FGM</t>
  </si>
  <si>
    <t>00000004286</t>
  </si>
  <si>
    <t>Кабель Аудио 3,5 Jack - 3,5 Plug 3pin, штекер-гнездо, Джетт 3м NT-3014</t>
  </si>
  <si>
    <t>00000004284</t>
  </si>
  <si>
    <t>Кабель Аудио 3,5 Jack - 3,5 Plug 3pin, штекер-гнездо, Джетт 5м NT-3014</t>
  </si>
  <si>
    <t>00000003899</t>
  </si>
  <si>
    <t>Кабель Аудио 3,5 Jack - 3,5 Plug 3pin, штекер-гнездо, Джетт 7м NT-3014</t>
  </si>
  <si>
    <t>УТ000055342</t>
  </si>
  <si>
    <t>Кабель Аудио 3,5 Jack - 3,5 Plug HOCO UPA20, серый</t>
  </si>
  <si>
    <t xml:space="preserve"> Кабель Jaсk 3,5 - RCA</t>
  </si>
  <si>
    <t>УТ000032230</t>
  </si>
  <si>
    <t>Кабель Аудио 3,5 Jack - 2 RCA 1,5м Dream</t>
  </si>
  <si>
    <t>00410057036</t>
  </si>
  <si>
    <t>Кабель Аудио 3,5 Jack - 2 RCA 5м  OT-AVC35</t>
  </si>
  <si>
    <t>УТ000042959</t>
  </si>
  <si>
    <t>Кабель Аудио 3,5 Jack - 2 RCA AV 1,5м</t>
  </si>
  <si>
    <t>УТ000000761</t>
  </si>
  <si>
    <t>Кабель Аудио 3,5 Jack - 2 RCA OT-AVC42 2м +</t>
  </si>
  <si>
    <t>00410056109</t>
  </si>
  <si>
    <t>Кабель Аудио 3,5 Jack - 2 RCA Джетт 1м NT-3017A</t>
  </si>
  <si>
    <t>00000003898</t>
  </si>
  <si>
    <t>Кабель Аудио 3,5 Jack - 2 RCA Джетт 5м NT-3017A</t>
  </si>
  <si>
    <t>УТ000032231</t>
  </si>
  <si>
    <t>Кабель Аудио 3,5 Jack - 3 RCA 1,5м  Dream</t>
  </si>
  <si>
    <t>УТ000057055</t>
  </si>
  <si>
    <t>Кабель Аудио 3,5 Jack - 3 RCA 1,5м позолоченные наконечники</t>
  </si>
  <si>
    <t>УТ000038510</t>
  </si>
  <si>
    <t>Кабель Аудио 3,5 Jack - 3 RCA NO NAME 1,5м</t>
  </si>
  <si>
    <t>УТ000053193</t>
  </si>
  <si>
    <t>Кабель Аудио 3,5 Jack - 3 RCA NO NAME 3м</t>
  </si>
  <si>
    <t>УТ000053194</t>
  </si>
  <si>
    <t>Кабель Аудио 3,5 Jack - 3 RCA NO NAME 5м</t>
  </si>
  <si>
    <t>УТ000042772</t>
  </si>
  <si>
    <t>УТ000039234</t>
  </si>
  <si>
    <t>Кабель Аудио 3,5 Jack - 3 RCA Джетт 3м</t>
  </si>
  <si>
    <t>УТ000039233</t>
  </si>
  <si>
    <t>Кабель Аудио 3,5 Jack - 3 RCA Джетт 5м</t>
  </si>
  <si>
    <t>00000003911</t>
  </si>
  <si>
    <t>Кабель Аудио Джетт 3,5 Jack - 2RCA 3м  (Rexant) NT-3017A</t>
  </si>
  <si>
    <t xml:space="preserve"> Кабель Toslink, оптический</t>
  </si>
  <si>
    <t>УТ000002285</t>
  </si>
  <si>
    <t>Кабель Аудио оптический TOSLINK-TOSLINK 1,5м</t>
  </si>
  <si>
    <t>УТ000053580</t>
  </si>
  <si>
    <t>Кабель Аудио оптический TOSLINK-TOSLINK 5м</t>
  </si>
  <si>
    <t>УТ000049904</t>
  </si>
  <si>
    <t>Кабель Аудио оптический TOSLINK-TOSLINK IF01 1,5м</t>
  </si>
  <si>
    <t>УТ000002284</t>
  </si>
  <si>
    <t>Кабель Аудио оптический TOSLINK-TOSLINK NT-7016C 1м</t>
  </si>
  <si>
    <t xml:space="preserve"> Кабель XLR</t>
  </si>
  <si>
    <t>УТ000055900</t>
  </si>
  <si>
    <t>Кабель аудио XLR 3pin гнездо - 6.35 Jack 2pin моно штекер 3м, эластичный</t>
  </si>
  <si>
    <t>УТ000055873</t>
  </si>
  <si>
    <t>Кабель аудио XLR 3pin штекер - гнездо 1.5м, эластичный</t>
  </si>
  <si>
    <t>УТ000055874</t>
  </si>
  <si>
    <t>Кабель аудио XLR 3pin штекер - гнездо 3м эластичный</t>
  </si>
  <si>
    <t xml:space="preserve"> Переходники Jack 3,5 - 2 x 3,5 Plug 3рin (штекер-2 гнезда)</t>
  </si>
  <si>
    <t>УТ000041220</t>
  </si>
  <si>
    <t>Переходник 3,5 Jack - 2 x 3,5 Plug 3рin (штекер-2 гнезда) Dream JD88</t>
  </si>
  <si>
    <t>00000003905</t>
  </si>
  <si>
    <t>Переходник 3,5 Jack - 2 x 3,5 Plug 3рin (штекер-2 гнезда) пластик CN-1121 T-1730B (упак.5шт)</t>
  </si>
  <si>
    <t xml:space="preserve"> Переходники Jack 3,5 - 2 x 3,5 Plug 4рin (штекер-2 гнезда), наушники - микрофон</t>
  </si>
  <si>
    <t>УТ000048407</t>
  </si>
  <si>
    <t>Переходник 3,5 Jack - 2 x 3,5 Plug  0,2м</t>
  </si>
  <si>
    <t>УТ000045425</t>
  </si>
  <si>
    <t>Переходник 3,5 Jack - 2 x 3,5 Plug 4рin (штекер-2 гнезда), KY57 (5)</t>
  </si>
  <si>
    <t xml:space="preserve"> Переходники Jaсk 3,5 - RCA,  Jaсk 6,3 - RCA</t>
  </si>
  <si>
    <t>00000003883</t>
  </si>
  <si>
    <t>Переходник 3,5 Jack - 2RCA Plug 3pin штекер - 2 гнезда пластик Джетт</t>
  </si>
  <si>
    <t>УТ000058296</t>
  </si>
  <si>
    <t>Переходник 3,5 Jack - 2RCA Plug 4pin штекер - 2 гнезда H17 (2)</t>
  </si>
  <si>
    <t>00410053221</t>
  </si>
  <si>
    <t>Переходник 6,3 Jack - 2RCA Plug 3pin штекер - 2 гнезда пластик CN-1116 (упак.5шт)</t>
  </si>
  <si>
    <t>00410053219</t>
  </si>
  <si>
    <t>Переходник 6,3 Jack - RCA 2pin штекер - гнездо (5)</t>
  </si>
  <si>
    <t xml:space="preserve"> Переходники Jaсk 6,3 3,5 2,5</t>
  </si>
  <si>
    <t>00000003903</t>
  </si>
  <si>
    <t>Переходник 3,5 Jack - 6,3 Plug T-1791B золото</t>
  </si>
  <si>
    <t>УТ000047563</t>
  </si>
  <si>
    <t>Переходник 6,3 Jack - 3,5 Plug 3pin штекер-гнездо металл, GOLD</t>
  </si>
  <si>
    <t>00000003907</t>
  </si>
  <si>
    <t>Переходник 6,3 Jack - 3,5 Plug 3pin штекер-гнездо пластик (5)</t>
  </si>
  <si>
    <t>УТ000058082</t>
  </si>
  <si>
    <t>Переходник Jack 6,3 TS 2pin - RCA гнездо - штекер (5)</t>
  </si>
  <si>
    <t>УТ000058476</t>
  </si>
  <si>
    <t>Переходник Jack 6,3 TS 2pin - RCA штекер - гнездо</t>
  </si>
  <si>
    <t xml:space="preserve"> Кабели видео HDMI, DVI, VGA, SCART, RCA ...</t>
  </si>
  <si>
    <t xml:space="preserve"> Кабель 2RCA, 3RCA, 4RCA</t>
  </si>
  <si>
    <t>УТ000054291</t>
  </si>
  <si>
    <t>Кабель Аудио/Видео 2RCA-2RCA 1,5м</t>
  </si>
  <si>
    <t>УТ000043030</t>
  </si>
  <si>
    <t>УТ000032227</t>
  </si>
  <si>
    <t>Кабель Аудио/Видео 2RCA-2RCA 1,5м Dream</t>
  </si>
  <si>
    <t>00410055899</t>
  </si>
  <si>
    <t>Кабель Аудио/Видео 2RCA-2RCA 3м</t>
  </si>
  <si>
    <t>УТ000002118</t>
  </si>
  <si>
    <t>Кабель Аудио/Видео 2RCA-2RCA Джетт 1,5м</t>
  </si>
  <si>
    <t>УТ000002119</t>
  </si>
  <si>
    <t>Кабель Аудио/Видео 2RCA-2RCA Джетт 3м</t>
  </si>
  <si>
    <t>00410055902</t>
  </si>
  <si>
    <t>Кабель Аудио/Видео 3RCA-3RCA 1,2м</t>
  </si>
  <si>
    <t>УТ000032228</t>
  </si>
  <si>
    <t>Кабель Аудио/Видео 3RCA-3RCA 1,5м Dream</t>
  </si>
  <si>
    <t>УТ000018029</t>
  </si>
  <si>
    <t>Кабель Аудио/Видео 3RCA-3RCA 10м AV14 (A374)</t>
  </si>
  <si>
    <t>00410058346</t>
  </si>
  <si>
    <t>Кабель Аудио/Видео 3RCA-3RCA SmartTrack 1,5м KА-131</t>
  </si>
  <si>
    <t>00410058348</t>
  </si>
  <si>
    <t>Кабель Аудио/Видео 3RCA-3RCA SmartTrack 5м KА-135</t>
  </si>
  <si>
    <t>00000004251</t>
  </si>
  <si>
    <t>Кабель Аудио/Видео 3RCA-3RCA Джетт 1,2м CK-8027</t>
  </si>
  <si>
    <t>00401052324</t>
  </si>
  <si>
    <t>Кабель Аудио/Видео 3RCA-3RCA Джетт 1,5м CK-8027</t>
  </si>
  <si>
    <t>00000003889</t>
  </si>
  <si>
    <t>Кабель Аудио/Видео 3RCA-3RCA Джетт 1,8м CK-8027</t>
  </si>
  <si>
    <t>УТ000007008</t>
  </si>
  <si>
    <t>Кабель Аудио/Видео 3RCA-3RCA Джетт 1м</t>
  </si>
  <si>
    <t>УТ000002121</t>
  </si>
  <si>
    <t>Кабель Аудио/Видео 4RCA-4RCA Джетт 1,5м</t>
  </si>
  <si>
    <t xml:space="preserve"> Кабель HDMI-HDMI</t>
  </si>
  <si>
    <t>УТ000050511</t>
  </si>
  <si>
    <t>Кабель HDMI-DVI штекер-штекер, 2м, S4 (1920x1080)</t>
  </si>
  <si>
    <t>УТ000043029</t>
  </si>
  <si>
    <t>Кабель Аудио/Видео HDMI-HDMI 0,75м</t>
  </si>
  <si>
    <t>УТ000058046</t>
  </si>
  <si>
    <t>Кабель Аудио/Видео HDMI-HDMI 10м резиновый в пакете (EP) (50849)</t>
  </si>
  <si>
    <t>УТ000050849</t>
  </si>
  <si>
    <t>Кабель Аудио/Видео HDMI-HDMI 10м, черный</t>
  </si>
  <si>
    <t>УТ000054639</t>
  </si>
  <si>
    <t>Кабель Аудио/Видео HDMI-HDMI 15м оплетка (EP)</t>
  </si>
  <si>
    <t>УТ000050821</t>
  </si>
  <si>
    <t>Кабель Аудио/Видео HDMI-HDMI 15м, черный</t>
  </si>
  <si>
    <t>УТ000054640</t>
  </si>
  <si>
    <t>Кабель Аудио/Видео HDMI-HDMI 20м оплетка (EP)</t>
  </si>
  <si>
    <t>УТ000050822</t>
  </si>
  <si>
    <t>Кабель Аудио/Видео HDMI-HDMI 20м, черный</t>
  </si>
  <si>
    <t>УТ000050823</t>
  </si>
  <si>
    <t>Кабель Аудио/Видео HDMI-HDMI 25м</t>
  </si>
  <si>
    <t>УТ000054641</t>
  </si>
  <si>
    <t>Кабель Аудио/Видео HDMI-HDMI 25м оплетка (EP)</t>
  </si>
  <si>
    <t>УТ000050824</t>
  </si>
  <si>
    <t>Кабель Аудио/Видео HDMI-HDMI 30м</t>
  </si>
  <si>
    <t>УТ000054642</t>
  </si>
  <si>
    <t>Кабель Аудио/Видео HDMI-HDMI 30м оплетка (EP)</t>
  </si>
  <si>
    <t>00410055401</t>
  </si>
  <si>
    <t>Кабель Аудио/Видео HDMI-HDMI 5м оплетка</t>
  </si>
  <si>
    <t>УТ000006671</t>
  </si>
  <si>
    <t>Кабель Аудио/Видео HDMI-HDMI 5м, черный</t>
  </si>
  <si>
    <t>00000000735</t>
  </si>
  <si>
    <t>Кабель Аудио/Видео HDMI-HDMI Defender 3м HDMI-10 PRO</t>
  </si>
  <si>
    <t>УТ000054703</t>
  </si>
  <si>
    <t>Кабель Аудио/Видео HDMI-HDMI HDTV 2,0  4K*2K, версия 2.0 5м (EP)</t>
  </si>
  <si>
    <t>УТ000047962</t>
  </si>
  <si>
    <t>Кабель Аудио/Видео HDMI-HDMI MRM-POWER 20м, оплетка</t>
  </si>
  <si>
    <t>УТ000048672</t>
  </si>
  <si>
    <t>Кабель Аудио/Видео HDMI-HDMI Джетт  0,7м</t>
  </si>
  <si>
    <t>УТ000002275</t>
  </si>
  <si>
    <t>Кабель Аудио/Видео HDMI-HDMI Джетт  1,5м</t>
  </si>
  <si>
    <t>УТ000004175</t>
  </si>
  <si>
    <t>Кабель Аудио/Видео HDMI-HDMI Джетт  2м</t>
  </si>
  <si>
    <t>УТ000004177</t>
  </si>
  <si>
    <t>Кабель Аудио/Видео HDMI-HDMI Джетт  5м</t>
  </si>
  <si>
    <t>УТ000004178</t>
  </si>
  <si>
    <t>Кабель Аудио/Видео HDMI-HDMI Джетт  7м</t>
  </si>
  <si>
    <t>УТ000039230</t>
  </si>
  <si>
    <t>Кабель Аудио/Видео HDMI-HDMI Джетт для Ultra HD, 4K, 8K 60Hz, HIGH speed, версия 2.0 1,5м</t>
  </si>
  <si>
    <t>УТ000039231</t>
  </si>
  <si>
    <t>Кабель Аудио/Видео HDMI-HDMI Джетт для Ultra HD, 4K, 8K 60Hz, HIGH speed, версия 2.0 2м</t>
  </si>
  <si>
    <t>УТ000045159</t>
  </si>
  <si>
    <t>Кабель Аудио/Видео HDMI-HDMI Джетт для Ultra HD, 4K, 8K 60Hz, HIGH speed, версия 2.0 3м</t>
  </si>
  <si>
    <t>УТ000004268</t>
  </si>
  <si>
    <t>Кабель Аудио/Видео HDMI-HDMI Джетт угловой 1,5м</t>
  </si>
  <si>
    <t>УТ000004169</t>
  </si>
  <si>
    <t>Кабель Аудио/Видео HDMI-HDMI Джетт угловой 3м</t>
  </si>
  <si>
    <t>УТ000004171</t>
  </si>
  <si>
    <t>Кабель Аудио/Видео HDMI-microHDMI Джетт 3м</t>
  </si>
  <si>
    <t>УТ000045520</t>
  </si>
  <si>
    <t>Кабель Аудио/Видео HDMI-miniHDMI Dialog HC-A1418 1,8м</t>
  </si>
  <si>
    <t>УТ000004174</t>
  </si>
  <si>
    <t>Кабель Аудио/Видео HDMI-miniHDMI Джетт 3м</t>
  </si>
  <si>
    <t>УТ000055834</t>
  </si>
  <si>
    <t>Кабель Аудио/Видео удлинитель Н208 HDMI-HDMI 5м гнездо штекер</t>
  </si>
  <si>
    <t xml:space="preserve"> Кабель SCART - RCA</t>
  </si>
  <si>
    <t>00410053185</t>
  </si>
  <si>
    <t>Кабель Аудио/Видео SCART-2RCA Джетт 3м NT-6004</t>
  </si>
  <si>
    <t>УТ000053753</t>
  </si>
  <si>
    <t>Кабель Аудио/Видео SCART-3RCA 1,5м без переключателя, SK15</t>
  </si>
  <si>
    <t>УТ000048613</t>
  </si>
  <si>
    <t>Кабель Аудио/Видео SCART-3RCA, с переключателем, 1,5 м</t>
  </si>
  <si>
    <t>00000003909</t>
  </si>
  <si>
    <t>Кабель Аудио/Видео SCART-4RCA Джетт 1,5м NT-6010</t>
  </si>
  <si>
    <t>00000003908</t>
  </si>
  <si>
    <t>Кабель Аудио/Видео SCART-4RCA Джетт 1м NT-6010</t>
  </si>
  <si>
    <t>00000003890</t>
  </si>
  <si>
    <t>Кабель Аудио/Видео SCART-4RCA Джетт 3м NT-6010</t>
  </si>
  <si>
    <t xml:space="preserve"> Кабель SCART-SCART, SVIDEO-SVIDEO</t>
  </si>
  <si>
    <t>00410053210</t>
  </si>
  <si>
    <t>Кабель Видео SVideo-SVideo Джетт 2м</t>
  </si>
  <si>
    <t xml:space="preserve"> Кабель VGA-VGA</t>
  </si>
  <si>
    <t>УТ000057660</t>
  </si>
  <si>
    <t>Кабель VGA-VGA штекер-штекер  1,5м V306</t>
  </si>
  <si>
    <t>УТ000043072</t>
  </si>
  <si>
    <t>Кабель VGA-VGA штекер-штекер 1,5м</t>
  </si>
  <si>
    <t>УТ000057659</t>
  </si>
  <si>
    <t>УТ000018354</t>
  </si>
  <si>
    <t>Кабель VGA-VGA штекер-штекер 10м</t>
  </si>
  <si>
    <t>УТ000057381</t>
  </si>
  <si>
    <t>Кабель VGA-VGA штекер-штекер 10м (EP)</t>
  </si>
  <si>
    <t>УТ000053192</t>
  </si>
  <si>
    <t>Кабель VGA-VGA штекер-штекер 15м (EP)</t>
  </si>
  <si>
    <t xml:space="preserve"> Конвертеры, переходники HDMI, DVI, DisplayPort, VGA, .....</t>
  </si>
  <si>
    <t>УТ000054002</t>
  </si>
  <si>
    <t>Конвертер-переходник MINI AV2HDMI, вход ( input ) 3RCA гнездо - выход ( output ) HDMI гнездо OT-AVW52</t>
  </si>
  <si>
    <t>УТ000052895</t>
  </si>
  <si>
    <t>Конвертер-переходник MINI AV2HDMI, вход ( input ) 3RCA гнездо - выход ( output ) HDMI гнездо, черный</t>
  </si>
  <si>
    <t>УТ000050481</t>
  </si>
  <si>
    <t>Конвертер-переходник MINI AV2VGA, вход ( input ) 3RCA гнездо - выход ( output ) VGA гнездо</t>
  </si>
  <si>
    <t>УТ000052897</t>
  </si>
  <si>
    <t>Конвертер-переходник MINI AV2VGA, вход ( input ) 3RCA гнездо - выход ( output ) VGA гнездо, белый</t>
  </si>
  <si>
    <t>УТ000037181</t>
  </si>
  <si>
    <t>Конвертер-переходник MINI HDMI2AV, вход ( input ) HDMI гнездо - выход ( output ) 3RCA гнездо</t>
  </si>
  <si>
    <t>УТ000054001</t>
  </si>
  <si>
    <t>Конвертер-переходник MINI HDMI2AV, вход ( input ) HDMI гнездо - выход ( output ) 3RCA гнездо OT-AVW51</t>
  </si>
  <si>
    <t>УТ000029839</t>
  </si>
  <si>
    <t>Конвертер-переходник MINI HDMI2AV, вход ( input ) HDMI гнездо - выход ( output ) 3RCA гнездо, белый</t>
  </si>
  <si>
    <t>УТ000035646</t>
  </si>
  <si>
    <t>Конвертер-переходник MINI HDMI2VGA, вход ( input ) HDMI гнездо - выход ( output ) VGA гнездо, белый</t>
  </si>
  <si>
    <t>УТ000037182</t>
  </si>
  <si>
    <t>Конвертер-переходник MINI HDMI2VGA, вход ( input ) HDMI гнездо - выход ( output ) VGA гнездо, черный</t>
  </si>
  <si>
    <t>УТ000048423</t>
  </si>
  <si>
    <t>Конвертер-переходник MINI VGA2AV, вход ( input )  VGA гнездо - выход ( output ) 3RCA гнездо</t>
  </si>
  <si>
    <t>УТ000052898</t>
  </si>
  <si>
    <t>Конвертер-переходник MINI VGA2AV, вход ( input )  VGA гнездо - выход ( output ) 3RCA гнездо, белый</t>
  </si>
  <si>
    <t>УТ000059163</t>
  </si>
  <si>
    <t>Конвертер-переходник MINI VGA2HDMI в коробке EP</t>
  </si>
  <si>
    <t>УТ000046542</t>
  </si>
  <si>
    <t>Конвертер-переходник MINI VGA2HDMI, вход ( input )  VGA гнездо - выход ( output ) HDMI гнездо</t>
  </si>
  <si>
    <t>УТ000052896</t>
  </si>
  <si>
    <t>Конвертер-переходник MINI VGA2HDMI, вход ( input )  VGA гнездо - выход ( output ) HDMI гнездо, белый</t>
  </si>
  <si>
    <t>УТ000042124</t>
  </si>
  <si>
    <t>Конвертер-переходник VGA на HDMI HWH-2058</t>
  </si>
  <si>
    <t>УТ000019774</t>
  </si>
  <si>
    <t>Переходник 1RCA-2RCA гнездо-2гнезда (упак.5шт)</t>
  </si>
  <si>
    <t>УТ000051361</t>
  </si>
  <si>
    <t>Переходник DisplayPort - DVI-I штекер-гнездо, H37</t>
  </si>
  <si>
    <t>УТ000042443</t>
  </si>
  <si>
    <t>Переходник DisplayPort mini - DVI-I(Dual) штекер-гнездо Telecom 0,15м (TA6050)</t>
  </si>
  <si>
    <t>УТ000042445</t>
  </si>
  <si>
    <t>Переходник DisplayPort mini - HDMI штекер-гнездо VCOM 0,15м (VHD6055)</t>
  </si>
  <si>
    <t>УТ000051363</t>
  </si>
  <si>
    <t>Переходник Displayport mini - HDMI, штекер-гнездо, H98</t>
  </si>
  <si>
    <t>УТ000048607</t>
  </si>
  <si>
    <t>Переходник DVI - HDMI штекер-гнездо, HDMI-F to DVI-D (24+1)</t>
  </si>
  <si>
    <t>УТ000050987</t>
  </si>
  <si>
    <t>Переходник DVI-VGA штекер-гнездо VGA-F/DVI-M, DVI-D 24+5, черный</t>
  </si>
  <si>
    <t>УТ000048605</t>
  </si>
  <si>
    <t>Переходник HDMI-DVI гнездо-штекер, HDMI-F to DVI-I(Dual) (24+5)</t>
  </si>
  <si>
    <t>УТ000058616</t>
  </si>
  <si>
    <t>Переходник HDMI-F- HDMI-F 90°, H171/H175</t>
  </si>
  <si>
    <t>УТ000050156</t>
  </si>
  <si>
    <t>Переходник HDMI-HDMI гнездо-гнездо, для соединения HDMI кабелей</t>
  </si>
  <si>
    <t>УТ000050749</t>
  </si>
  <si>
    <t>Переходник HDMI-HDMI штекер-гнездо, 10см</t>
  </si>
  <si>
    <t>УТ000052323</t>
  </si>
  <si>
    <t>Переходник HDMI-HDMI штекер-штекер</t>
  </si>
  <si>
    <t>00410053579</t>
  </si>
  <si>
    <t>Переходник HDMI-microHDMI гнездо-штекер</t>
  </si>
  <si>
    <t>УТ000055194</t>
  </si>
  <si>
    <t>Переходник HDMI-microHDMI-miniHDMI гнездо-штекер-штекер</t>
  </si>
  <si>
    <t>УТ000054146</t>
  </si>
  <si>
    <t>Переходник HDMI-miniHDMI гнездо-штекер</t>
  </si>
  <si>
    <t>УТ000053750</t>
  </si>
  <si>
    <t>УТ000050159</t>
  </si>
  <si>
    <t>Переходник HDMI-RJ45 для удлинителей по витой паре ( комплект 2шт ), H201 (HE30)</t>
  </si>
  <si>
    <t>УТ000031983</t>
  </si>
  <si>
    <t>Переходник HDMI-VGA Dream AD1, белый</t>
  </si>
  <si>
    <t>УТ000031984</t>
  </si>
  <si>
    <t>Переходник HDMI-VGA Dream DRM-AD2, белый</t>
  </si>
  <si>
    <t>УТ000026698</t>
  </si>
  <si>
    <t>Переходник HDMI-VGA с разъемом microUSB</t>
  </si>
  <si>
    <t>УТ000025369</t>
  </si>
  <si>
    <t>Переходник HDMI-VGA+AUX (пластиковый бокс) OT-AVW20</t>
  </si>
  <si>
    <t>УТ000026697</t>
  </si>
  <si>
    <t>Переходник HDMI-VGA, H118, черный</t>
  </si>
  <si>
    <t>УТ000050985</t>
  </si>
  <si>
    <t>Переходник HDMI-VGA, H119, белый</t>
  </si>
  <si>
    <t>УТ000050485</t>
  </si>
  <si>
    <t>Переходник HDMI-VGA, белый EP</t>
  </si>
  <si>
    <t>УТ000026785</t>
  </si>
  <si>
    <t>Переходник HDMI-VGA-AUX с внешним питанием EP черный</t>
  </si>
  <si>
    <t>УТ000055115</t>
  </si>
  <si>
    <t>Переходник HDTV-VGA, H180, белый</t>
  </si>
  <si>
    <t>УТ000048602</t>
  </si>
  <si>
    <t>Переходник mini DisplayPort-VGA штекер-гнездо</t>
  </si>
  <si>
    <t>УТ000010186</t>
  </si>
  <si>
    <t>Переходник SCART-3RCA штекер-3 гнезда Dream</t>
  </si>
  <si>
    <t>00410052110</t>
  </si>
  <si>
    <t>Переходник SCART-3RCA штекер-3 гнезда с переключателем Джетт</t>
  </si>
  <si>
    <t>00410053220</t>
  </si>
  <si>
    <t>Переходник SCART-3RCA-Svideo 4pin штекер-3 гнезда-гнездо перкл. вход-выход СN-5042</t>
  </si>
  <si>
    <t>УТ000053025</t>
  </si>
  <si>
    <t>Переходник VGA-HDMI+AUX питание H01</t>
  </si>
  <si>
    <t>УТ000047950</t>
  </si>
  <si>
    <t>Переходник VGA-VGA гнездо-гнездо, H68</t>
  </si>
  <si>
    <t>УТ000047949</t>
  </si>
  <si>
    <t>Переходник VGA-VGA гнездо-штекер угловой, H66</t>
  </si>
  <si>
    <t>УТ000055113</t>
  </si>
  <si>
    <t>Разветвитель, сплиттер HDMI - 2 x HDMI Plug H147</t>
  </si>
  <si>
    <t>УТ000053016</t>
  </si>
  <si>
    <t>Разветвитель, сплиттер HDMI - 3 x HDMI Plug</t>
  </si>
  <si>
    <t xml:space="preserve"> Кабели компьтерные USB 2.0, USB 3.0,  AM,  AF,  BM ...</t>
  </si>
  <si>
    <t xml:space="preserve"> Кабель USB AF-AF гнездо-гнездо</t>
  </si>
  <si>
    <t>УТ000017471</t>
  </si>
  <si>
    <t>Кабель компьютерный USB 2.0 AF-AF гнездо-гнездо 1м</t>
  </si>
  <si>
    <t xml:space="preserve"> Кабель USB AM-AF штекер - гнездо</t>
  </si>
  <si>
    <t>00410057995</t>
  </si>
  <si>
    <t>Кабель компьютерный USB 2.0 AM-AF штекер-гнездо 0,75м  ДЖЕТТ</t>
  </si>
  <si>
    <t>УТ000032253</t>
  </si>
  <si>
    <t>Кабель компьютерный USB 2.0 AM-AF штекер-гнездо 1,5м чёрный Dream</t>
  </si>
  <si>
    <t>УТ000050487</t>
  </si>
  <si>
    <t>Кабель компьютерный USB 2.0 AM-AF штекер-гнездо 1,5м, фильтр, черный, DL23 (EP)</t>
  </si>
  <si>
    <t>00410053881</t>
  </si>
  <si>
    <t>Кабель компьютерный USB 2.0 AM-AF штекер-гнездо 1,8 T-7202-1,8 ДЖЕТТ</t>
  </si>
  <si>
    <t>УТ000020655</t>
  </si>
  <si>
    <t>Кабель компьютерный USB 2.0 AM-AF штекер-гнездо 1,8м Гарнизон</t>
  </si>
  <si>
    <t>УТ000020654</t>
  </si>
  <si>
    <t>Кабель компьютерный USB 2.0 AM-AF штекер-гнездо 1м Гарнизон</t>
  </si>
  <si>
    <t>00410055886</t>
  </si>
  <si>
    <t>Кабель компьютерный USB 2.0 AM-AF штекер-гнездо 3м Cablexpert</t>
  </si>
  <si>
    <t>УТ000001792</t>
  </si>
  <si>
    <t>Кабель компьютерный USB 2.0 AM-AF штекер-гнездо 4,5м T-7202-5 ДЖЕТТ</t>
  </si>
  <si>
    <t xml:space="preserve"> Кабель USB AM-AM штекер - штекер</t>
  </si>
  <si>
    <t>УТ000049895</t>
  </si>
  <si>
    <t>Адаптер USB 3.0/3.1 штекер-штекер B6 5/10 Gbps DREAM</t>
  </si>
  <si>
    <t>УТ000050168</t>
  </si>
  <si>
    <t>Кабель компьютерный USB 2.0 AM-AM штекер-штекер 1.5м, фильтр, черный</t>
  </si>
  <si>
    <t>УТ000029108</t>
  </si>
  <si>
    <t>Кабель компьютерный USB 2.0 AM-AM штекер-штекер 1м</t>
  </si>
  <si>
    <t>УТ000047158</t>
  </si>
  <si>
    <t>Кабель компьютерный USB 2.0 AM-AM штекер-штекер, с фильтром, 3м</t>
  </si>
  <si>
    <t>УТ000038934</t>
  </si>
  <si>
    <t>Кабель компьютерный USB 3.0 AM-AM штекер-штекер 2м OT-PCC20 для внешних жестких дисков</t>
  </si>
  <si>
    <t xml:space="preserve"> Кабель USB-...</t>
  </si>
  <si>
    <t>УТ000029967</t>
  </si>
  <si>
    <t>Кабель USB - 3,5 Jack гнездо-штекер, 1 метр</t>
  </si>
  <si>
    <t>УТ000056830</t>
  </si>
  <si>
    <t>Переходник USB 2.0 - PS2, гнездо- штекер, мышь и клавиатура</t>
  </si>
  <si>
    <t>УТ000054496</t>
  </si>
  <si>
    <t>Переходник USB 2.0 - PS2, мышь и клавиатура, штекер-2 гнезда, на проводе</t>
  </si>
  <si>
    <t xml:space="preserve"> Кабель USB-MINI USB</t>
  </si>
  <si>
    <t>УТ000030721</t>
  </si>
  <si>
    <t>Кабель USB - miniUSB 0,5м Perfeo U4201</t>
  </si>
  <si>
    <t>УТ000020692</t>
  </si>
  <si>
    <t>Кабель USB - miniUSB 1,8м Гарнизон</t>
  </si>
  <si>
    <t>00000003720</t>
  </si>
  <si>
    <t>Кабель USB - miniUSB 1,8м ДЖЕТТ (Gembird) 107-105</t>
  </si>
  <si>
    <t>УТ000036841</t>
  </si>
  <si>
    <t>Кабель USB - miniUSB Dream BK06</t>
  </si>
  <si>
    <t>УТ000058180</t>
  </si>
  <si>
    <t>Кабель USB - miniUSB Dream BK06 белый</t>
  </si>
  <si>
    <t xml:space="preserve"> Кабель для принтера</t>
  </si>
  <si>
    <t>УТ000046248</t>
  </si>
  <si>
    <t>Кабель для принтера AM-BM 1.5м, с фильтром, черный DL31</t>
  </si>
  <si>
    <t>00000002482</t>
  </si>
  <si>
    <t>Кабель для принтера AM-BM Gembird 1,8м</t>
  </si>
  <si>
    <t>УТ000000550</t>
  </si>
  <si>
    <t>Кабель для принтера AM-BM Gembird 3м</t>
  </si>
  <si>
    <t>УТ000011688</t>
  </si>
  <si>
    <t>Кабель для принтера AM-BM Gembird 4,5м</t>
  </si>
  <si>
    <t>УТ000021883</t>
  </si>
  <si>
    <t>Кабель для принтера AM-BM Гарнизон 1,8м</t>
  </si>
  <si>
    <t>УТ000027423</t>
  </si>
  <si>
    <t>Кабель для принтера AM-BM Гарнизон 3м</t>
  </si>
  <si>
    <t xml:space="preserve"> Патч-корд</t>
  </si>
  <si>
    <t>УТ000022682</t>
  </si>
  <si>
    <t>Кабель компьютерный патчкорд EP Кат. 5е,  5м</t>
  </si>
  <si>
    <t>УТ000052555</t>
  </si>
  <si>
    <t>Кабель компьютерный патчкорд EP Кат. 5е, 10м</t>
  </si>
  <si>
    <t>УТ000051661</t>
  </si>
  <si>
    <t>Кабель компьютерный патчкорд EP Кат. 5е, 20м</t>
  </si>
  <si>
    <t>УТ000051664</t>
  </si>
  <si>
    <t>Кабель компьютерный патчкорд EP Кат. 5е, 40м</t>
  </si>
  <si>
    <t>УТ000056380</t>
  </si>
  <si>
    <t>Кабель компьютерный патчкорд EP Кат. 6е, 20м</t>
  </si>
  <si>
    <t>УТ000056381</t>
  </si>
  <si>
    <t>Кабель компьютерный патчкорд EP Кат. 6е, 25м</t>
  </si>
  <si>
    <t>УТ000056382</t>
  </si>
  <si>
    <t>Кабель компьютерный патчкорд EP Кат. 6е, 27м</t>
  </si>
  <si>
    <t>УТ000057596</t>
  </si>
  <si>
    <t>Кабель компьютерный патчкорд EP Кат. 6е, 30м</t>
  </si>
  <si>
    <t>УТ000056383</t>
  </si>
  <si>
    <t>Кабель компьютерный патчкорд EP Кат. 6е, 40м</t>
  </si>
  <si>
    <t>УТ000059162</t>
  </si>
  <si>
    <t>Кабель компьютерный патчкорд EP Кат. 6е, 50м</t>
  </si>
  <si>
    <t>УТ000020217</t>
  </si>
  <si>
    <t>Кабель компьютерный патчкорд Джетт (Gembird) UTP Кат. 5е,  0,5м, серый</t>
  </si>
  <si>
    <t>00000003683</t>
  </si>
  <si>
    <t>Кабель компьютерный патчкорд Джетт (Gembird) UTP Кат. 5е,  1м, серый, T-7201-1</t>
  </si>
  <si>
    <t>00000002857</t>
  </si>
  <si>
    <t>Кабель компьютерный патчкорд Джетт (Gembird) UTP Кат. 5е,  2м, серый Т-7201-2</t>
  </si>
  <si>
    <t>УТ000003717</t>
  </si>
  <si>
    <t>Кабель компьютерный патчкорд Джетт (Gembird) UTP Кат. 5е,  3м, серый Т-7201-3</t>
  </si>
  <si>
    <t>00000004101</t>
  </si>
  <si>
    <t>Кабель компьютерный патчкорд Джетт (Gembird) UTP Кат. 5е,  5м, серый Т-7201-5</t>
  </si>
  <si>
    <t>00410053134</t>
  </si>
  <si>
    <t>Кабель компьютерный патчкорд Джетт (Gembird) UTP Кат. 5е,  7,5м, серый Т-7201-7</t>
  </si>
  <si>
    <t>00000002837</t>
  </si>
  <si>
    <t>Кабель компьютерный патчкорд Джетт (Gembird) UTP Кат. 5е, 10м, серый Т-7201-10</t>
  </si>
  <si>
    <t>УТ000001295</t>
  </si>
  <si>
    <t>Кабель компьютерный патчкорд Джетт (Gembird) UTP Кат. 5е, 15м, серый Т-7201-15</t>
  </si>
  <si>
    <t>00000002838</t>
  </si>
  <si>
    <t>Кабель компьютерный патчкорд Джетт (Gembird) UTP Кат. 5е, 20м, серый T-7201-20</t>
  </si>
  <si>
    <t>УТ000002111</t>
  </si>
  <si>
    <t>Кабель компьютерный патчкорд Джетт (Gembird) UTP Кат. 5е, 30м, серый T-7201-30</t>
  </si>
  <si>
    <t xml:space="preserve"> Пигтейлы</t>
  </si>
  <si>
    <t>УТ000053872</t>
  </si>
  <si>
    <t>Кабель пигтейл F-female - SMA-male, гнездо - штекер, кабель RG316</t>
  </si>
  <si>
    <t>УТ000040155</t>
  </si>
  <si>
    <t>Кабель пигтейл F-female-CRC9,  гнездо - штекер, кабель RG316</t>
  </si>
  <si>
    <t xml:space="preserve"> Шлейфы</t>
  </si>
  <si>
    <t>УТ000054237</t>
  </si>
  <si>
    <t>Кабель для видеокарты PCI-Express 6-pin to 2 molex 0.15м, GG1</t>
  </si>
  <si>
    <t>УТ000058239</t>
  </si>
  <si>
    <t>Кабель для подключения жесткого диска SATA 3.0 6Gb/S 0.45м DREAM STYLE ST01</t>
  </si>
  <si>
    <t>УТ000054235</t>
  </si>
  <si>
    <t>Кабель для подключения жесткого диска SATA 3.0 6Gb/S 0.45м угловой DREAM STYLE ST03</t>
  </si>
  <si>
    <t>УТ000054236</t>
  </si>
  <si>
    <t>Кабель силовой для подключения 2-х жестких дисков MOLEX - 2 SATA 15-pin, 0.45м, ST04</t>
  </si>
  <si>
    <t xml:space="preserve"> Кабели питания</t>
  </si>
  <si>
    <t xml:space="preserve"> Кабель питания для бытовой техники и компьютеров</t>
  </si>
  <si>
    <t>УТ000055849</t>
  </si>
  <si>
    <t>Кабель USB для электробритв DL40 (2pin)</t>
  </si>
  <si>
    <t>УТ000055850</t>
  </si>
  <si>
    <t>Кабель USB для электробритв DL41 (2pin)</t>
  </si>
  <si>
    <t>УТ000055851</t>
  </si>
  <si>
    <t>Кабель USB для электробритв DL42 (2pin)</t>
  </si>
  <si>
    <t>УТ000055852</t>
  </si>
  <si>
    <t>Кабель USB для электробритв DL43 (2pin)</t>
  </si>
  <si>
    <t>УТ000055853</t>
  </si>
  <si>
    <t>Кабель USB для электробритв DL44 (2pin)</t>
  </si>
  <si>
    <t>УТ000057060</t>
  </si>
  <si>
    <t>Кабель USB для электробритв DL45 (2pin)</t>
  </si>
  <si>
    <t>УТ000043170</t>
  </si>
  <si>
    <t>Сетевой шнур 2pin (C7) 1,5м угловая вилка белый</t>
  </si>
  <si>
    <t>УТ000043171</t>
  </si>
  <si>
    <t>Сетевой шнур 2pin (C7) 1,5м угловой  черный OT-ELS07</t>
  </si>
  <si>
    <t>УТ000043175</t>
  </si>
  <si>
    <t>Сетевой шнур 2pin (C7) 1,5м угловой штекер, белый</t>
  </si>
  <si>
    <t>УТ000043176</t>
  </si>
  <si>
    <t>Сетевой шнур 2pin (C7) 1,5м угловой штекер, черный</t>
  </si>
  <si>
    <t>УТ000052673</t>
  </si>
  <si>
    <t>Сетевой шнур 2pin C1 PC01 для аудио-видео</t>
  </si>
  <si>
    <t>УТ000025303</t>
  </si>
  <si>
    <t>Сетевой шнур 2pin C1 для электробритв, витой кабель</t>
  </si>
  <si>
    <t>УТ000018106</t>
  </si>
  <si>
    <t>Сетевой шнур 2pin C1 для электробритв, витой кабель ШОГ-С АП Агидель</t>
  </si>
  <si>
    <t>УТ000048617</t>
  </si>
  <si>
    <t>Сетевой шнур 2pin C1 для электробритвы прямой, 1,2м, VS40</t>
  </si>
  <si>
    <t>УТ000058009</t>
  </si>
  <si>
    <t>Сетевой шнур 2pin C7 1,8м Джетт CN-9086A</t>
  </si>
  <si>
    <t>УТ000043172</t>
  </si>
  <si>
    <t>Сетевой шнур 3pin (С13) 1,5м, угловой штекер, черный</t>
  </si>
  <si>
    <t>УТ000052987</t>
  </si>
  <si>
    <t>Сетевой шнур 3pin C5 1.5м A757, VS61</t>
  </si>
  <si>
    <t>УТ000026950</t>
  </si>
  <si>
    <t>Сетевой шнур 3pin С13 1,2м 756</t>
  </si>
  <si>
    <t>УТ000019928</t>
  </si>
  <si>
    <t>Сетевой шнур 3pin С13 1,5м 333</t>
  </si>
  <si>
    <t>00410054844</t>
  </si>
  <si>
    <t>Сетевой шнур 3pin С13 1,8м PC-186</t>
  </si>
  <si>
    <t>00410053136</t>
  </si>
  <si>
    <t>Сетевой шнур 3pin С13 3м PC-186-10</t>
  </si>
  <si>
    <t>УТ000041041</t>
  </si>
  <si>
    <t>Сетевой шнур 3pin С5 1,5м 758</t>
  </si>
  <si>
    <t>УТ000033259</t>
  </si>
  <si>
    <t>Сетевой шнур 3pin С5 1,5м черный Dream</t>
  </si>
  <si>
    <t>УТ000055538</t>
  </si>
  <si>
    <t>Сетевой шнур 3pin С5 1,5м, 757 EP</t>
  </si>
  <si>
    <t>УТ000051745</t>
  </si>
  <si>
    <t>Сетевой шнур 3pin С5 1,5м, VS62</t>
  </si>
  <si>
    <t>УТ000048616</t>
  </si>
  <si>
    <t>Сетевой шнур C7 VS30 1,8м восьмерка чёрный</t>
  </si>
  <si>
    <t>УТ000016190</t>
  </si>
  <si>
    <t>Сетевой шнур с выключателем белый 1,7 м (2 х0,5)</t>
  </si>
  <si>
    <t>УТ000019325</t>
  </si>
  <si>
    <t>Сетевой шнур с выключателем белый 2,2 м (2 х0,5) +</t>
  </si>
  <si>
    <t>УТ000019810</t>
  </si>
  <si>
    <t>Шнур с плоской вилкой и диммером SmartBuy (1.7м, ШВВП) (SBE-06-P07-b)</t>
  </si>
  <si>
    <t>УТ000019809</t>
  </si>
  <si>
    <t>Шнур с плоской вилкой и диммером SmartBuy (1.7м, ШВВП) (SBE-06-P07-w)</t>
  </si>
  <si>
    <t>УТ000050939</t>
  </si>
  <si>
    <t>Шнур с плоской вилкой и диммером белый 47271</t>
  </si>
  <si>
    <t>УТ000019372</t>
  </si>
  <si>
    <t>Шнур с плоской вилкой и проходным выключателем SmartBuy 1,7м. белый ШВВП 2х0,75 (SBE-06-P05-w)</t>
  </si>
  <si>
    <t>УТ000019373</t>
  </si>
  <si>
    <t>Шнур с плоской вилкой и проходным выключателем SmartBuy 1,7м. черный ШВВП 2х0,75 (SBE-06-P05-b)</t>
  </si>
  <si>
    <t>УТ000059325</t>
  </si>
  <si>
    <t>Шнур сетевой 2х0.75мм² с диммером, 2м, белый РУЭЛ</t>
  </si>
  <si>
    <t>УТ000059324</t>
  </si>
  <si>
    <t>Шнур сетевой 2х0.75мм² с диммером, 2м, черный РУЭЛ</t>
  </si>
  <si>
    <t>УТ000059323</t>
  </si>
  <si>
    <t>Шнур сетевой 2х0.75мм² с напольным выключателем, 2.5м, белый РУЭЛ</t>
  </si>
  <si>
    <t>УТ000059322</t>
  </si>
  <si>
    <t>Шнур сетевой 2х0.75мм² с напольным выключателем, 2.5м, черный РУЭЛ</t>
  </si>
  <si>
    <t>00410058081</t>
  </si>
  <si>
    <t>Шнур сетевой с вилкой (провод ПВС 2х0,75) 2,2м</t>
  </si>
  <si>
    <t>УТ000021894</t>
  </si>
  <si>
    <t>Шнур сетевой с вилкой (провод ШВВП 2х0,5) 5м, белый</t>
  </si>
  <si>
    <t>УТ000010295</t>
  </si>
  <si>
    <t>Шнур сетевой с вилкой (провод ШВВП 2х0,75) 2,2м, белый</t>
  </si>
  <si>
    <t>УТ000010296</t>
  </si>
  <si>
    <t>Шнур сетевой с вилкой (провод ШВВП 2х0,75) 3м, белый</t>
  </si>
  <si>
    <t>УТ000010300</t>
  </si>
  <si>
    <t>Шнур сетевой с вилкой с заземлением армированный (провод ПВС 3х0,75) 2,2м</t>
  </si>
  <si>
    <t>УТ000010301</t>
  </si>
  <si>
    <t>Шнур сетевой с вилкой с заземлением армированный (провод ПВС 3х0,75) 3м</t>
  </si>
  <si>
    <t>УТ000007007</t>
  </si>
  <si>
    <t>Шнур сетевой с вилкой с заземлением армированный (провод ПВС 3х0,75) 5 м</t>
  </si>
  <si>
    <t xml:space="preserve"> Кабель с разьемом DC, питания от USB</t>
  </si>
  <si>
    <t>УТ000045430</t>
  </si>
  <si>
    <t>Кабель USB - 2,5мм питание 1м +</t>
  </si>
  <si>
    <t>УТ000057228</t>
  </si>
  <si>
    <t>Кабель USB - 3,5мм питание 0.5м</t>
  </si>
  <si>
    <t>УТ000057229</t>
  </si>
  <si>
    <t>Кабель USB - 3,5мм питание 1.8м</t>
  </si>
  <si>
    <t>УТ000045438</t>
  </si>
  <si>
    <t>Кабель USB - 3,5мм питание 1м</t>
  </si>
  <si>
    <t>УТ000058681</t>
  </si>
  <si>
    <t>Кабель USB - 4,0мм питание 1.8м</t>
  </si>
  <si>
    <t>УТ000053956</t>
  </si>
  <si>
    <t>Кабель USB - 5,5 x 2,1мм питание Dream V21</t>
  </si>
  <si>
    <t>УТ000056190</t>
  </si>
  <si>
    <t>Кабель USB - 5,5 x 2,5мм питание 1.8м</t>
  </si>
  <si>
    <t>УТ000053957</t>
  </si>
  <si>
    <t>Кабель USB - 5,5 x 2,5мм питание Dream V5</t>
  </si>
  <si>
    <t>УТ000006255</t>
  </si>
  <si>
    <t>Кабель USB - 5,5мм питание 1,5м BS-373 OT-PCC04</t>
  </si>
  <si>
    <t>УТ000052331</t>
  </si>
  <si>
    <t>Кабель USB - 5,5мм питание 1м</t>
  </si>
  <si>
    <t>УТ000054790</t>
  </si>
  <si>
    <t>Кабель питания, удлинитель DC 5.5x2.5мм штекер-гнездо 1.5 м</t>
  </si>
  <si>
    <t>УТ000058679</t>
  </si>
  <si>
    <t>Кабель питания, удлинитель DC 5.5x2.5мм штекер-гнездо 3м</t>
  </si>
  <si>
    <t>УТ000058680</t>
  </si>
  <si>
    <t>Кабель питания, удлинитель DC 5.5x2.5мм штекер-гнездо 5м</t>
  </si>
  <si>
    <t xml:space="preserve"> Кабель с разьемом DC, ремкомплект для блоков питания</t>
  </si>
  <si>
    <t>УТ000049168</t>
  </si>
  <si>
    <t>Шнур питания с разъемом DC 3.5х1.4мм 1.8м</t>
  </si>
  <si>
    <t>УТ000049169</t>
  </si>
  <si>
    <t>Шнур питания с разъемом DC 5.5х2.1мм 1.8м</t>
  </si>
  <si>
    <t>УТ000049170</t>
  </si>
  <si>
    <t>Шнур питания с разъемом DC 5.5х2.1мм 1.8м угловой</t>
  </si>
  <si>
    <t xml:space="preserve"> Переходники питания</t>
  </si>
  <si>
    <t>УТ000044765</t>
  </si>
  <si>
    <t>Переходник DC гнездо - гнездо 5.5*2.1 - 5.5*2.1  F-F</t>
  </si>
  <si>
    <t>УТ000044769</t>
  </si>
  <si>
    <t>Переходник DC штекер - штекер 5.5*2.5 - 5.5*2.1 M-M , длина 35см</t>
  </si>
  <si>
    <t>УТ000052794</t>
  </si>
  <si>
    <t>Переходник питания 5.5x2.5 гнездо - 2.5x0.7 штекер 20см</t>
  </si>
  <si>
    <t xml:space="preserve"> Наушники и гарнитуры</t>
  </si>
  <si>
    <t xml:space="preserve"> Аксессуары для наушников</t>
  </si>
  <si>
    <t>УТ000058482</t>
  </si>
  <si>
    <t>Амбушюры с эффектом памяти, пенные  (3 пары, размер S, M, L) красный, KZ Acoustics</t>
  </si>
  <si>
    <t>УТ000058483</t>
  </si>
  <si>
    <t>Амбушюры с эффектом памяти, пенные  (3 пары, размер S, M, L) синий, KZ Acoustics</t>
  </si>
  <si>
    <t>УТ000058485</t>
  </si>
  <si>
    <t>Амбушюры с эффектом памяти, пенные (размер M) красные, KZ Acoustics</t>
  </si>
  <si>
    <t>УТ000058486</t>
  </si>
  <si>
    <t>Амбушюры с эффектом памяти, пенные (размер M) синие, KZ Acoustics</t>
  </si>
  <si>
    <t>УТ000058484</t>
  </si>
  <si>
    <t>Амбушюры с эффектом памяти, пенные (размер M) черные, KZ Acoustics</t>
  </si>
  <si>
    <t>УТ000050512</t>
  </si>
  <si>
    <t>Амбушюры силиконовые  для наушников Dream ALC08, белые</t>
  </si>
  <si>
    <t>УТ000058487</t>
  </si>
  <si>
    <t>Амбушюры силиконовые (3 пары, размер S, M, L) черные, KZ Acoustics</t>
  </si>
  <si>
    <t>УТ000054520</t>
  </si>
  <si>
    <t>Амбушюры силиконовые для наушников Dream ALC08, черные</t>
  </si>
  <si>
    <t>УТ000058491</t>
  </si>
  <si>
    <t>Кабель для наушников, позолоченные контакты, мeдь оfc 99,9</t>
  </si>
  <si>
    <t xml:space="preserve"> Гарнитуры</t>
  </si>
  <si>
    <t xml:space="preserve"> Беспроводные гарнитуры вакуумные</t>
  </si>
  <si>
    <t>УТ000057208</t>
  </si>
  <si>
    <t>Гарнитура bluetooth HOCO ES65 Dream, bluetooth 5.3, цвет: оранжевый</t>
  </si>
  <si>
    <t>УТ000057209</t>
  </si>
  <si>
    <t>Гарнитура bluetooth HOCO ES65 Dream, bluetooth 5.3, цвет: фиолетовый</t>
  </si>
  <si>
    <t>УТ000057031</t>
  </si>
  <si>
    <t>Гарнитура Bluetooth с зажимами для ушей, белая</t>
  </si>
  <si>
    <t>УТ000057033</t>
  </si>
  <si>
    <t>Гарнитура Bluetooth с зажимами для ушей, оранжевая</t>
  </si>
  <si>
    <t>УТ000057032</t>
  </si>
  <si>
    <t>Гарнитура Bluetooth с зажимами для ушей, телесная</t>
  </si>
  <si>
    <t>УТ000039863</t>
  </si>
  <si>
    <t>Гарнитура Dialog ES-75BT Bluetooth с кнопкой ответа для мобильных устройств, белый</t>
  </si>
  <si>
    <t>УТ000039862</t>
  </si>
  <si>
    <t>Гарнитура Dialog ES-75BT Bluetooth с кнопкой ответа для мобильных устройств, черная</t>
  </si>
  <si>
    <t>УТ000035969</t>
  </si>
  <si>
    <t>Гарнитура Dream LY03 (с зарядным боксом), черный</t>
  </si>
  <si>
    <t>УТ000055011</t>
  </si>
  <si>
    <t>Гарнитура беспроводная AirBuds WS03</t>
  </si>
  <si>
    <t>УТ000055013</t>
  </si>
  <si>
    <t>Гарнитура беспроводная AirBuds WS05</t>
  </si>
  <si>
    <t>УТ000058638</t>
  </si>
  <si>
    <t>Гарнитура беспроводная AirBuds WS07 белые</t>
  </si>
  <si>
    <t>УТ000046221</t>
  </si>
  <si>
    <t>Гарнитура беспроводная Earbuds A10S (Bluetooth)</t>
  </si>
  <si>
    <t>УТ000048087</t>
  </si>
  <si>
    <t>Гарнитура беспроводная Hands Free HOCO E57 (Bluetooth), белый</t>
  </si>
  <si>
    <t>УТ000034634</t>
  </si>
  <si>
    <t>Гарнитура беспроводная iP i9S-TWS 5.0</t>
  </si>
  <si>
    <t>УТ000053109</t>
  </si>
  <si>
    <t>Гарнитура беспроводная M10</t>
  </si>
  <si>
    <t>УТ000042783</t>
  </si>
  <si>
    <t>Гарнитура беспроводная Redmi AirDots 2, черные</t>
  </si>
  <si>
    <t>00400047406</t>
  </si>
  <si>
    <t>Гарнитура беспроводная RITMIX Bluetooth SET RH-411BTH + RH-401BTD</t>
  </si>
  <si>
    <t>УТ000049023</t>
  </si>
  <si>
    <t>Гарнитура беспроводная вакуумная Borofone BE45, черный</t>
  </si>
  <si>
    <t>УТ000056745</t>
  </si>
  <si>
    <t>Гарнитура беспроводная вакуумная Borofone BE56, чёрный</t>
  </si>
  <si>
    <t>УТ000056746</t>
  </si>
  <si>
    <t>Гарнитура беспроводная вакуумная Borofone BE58 серый</t>
  </si>
  <si>
    <t>УТ000054967</t>
  </si>
  <si>
    <t>Гарнитура беспроводная вакуумная Borofone BE58, черный</t>
  </si>
  <si>
    <t>УТ000055242</t>
  </si>
  <si>
    <t>Гарнитура беспроводная вакуумная Borofone BE59, синий</t>
  </si>
  <si>
    <t>УТ000058781</t>
  </si>
  <si>
    <t>Гарнитура беспроводная вакуумная HOCO ES50, чёрный</t>
  </si>
  <si>
    <t>УТ000051100</t>
  </si>
  <si>
    <t>Гарнитура беспроводная вакуумная HOCO ES51, белый</t>
  </si>
  <si>
    <t>УТ000050576</t>
  </si>
  <si>
    <t>Гарнитура беспроводная вакуумная HOCO ES58, синий</t>
  </si>
  <si>
    <t>УТ000054971</t>
  </si>
  <si>
    <t>Гарнитура беспроводная вакуумная HOCO ES64, зелёный</t>
  </si>
  <si>
    <t>УТ000058957</t>
  </si>
  <si>
    <t>Гарнитура беспроводная вакуумная HOCO ES69, чёрный</t>
  </si>
  <si>
    <t>УТ000058958</t>
  </si>
  <si>
    <t>Гарнитура беспроводная вакуумная HOCO ES70, бежевый</t>
  </si>
  <si>
    <t>УТ000058960</t>
  </si>
  <si>
    <t>Гарнитура беспроводная вакуумная HOCO ES70, фиолетовый</t>
  </si>
  <si>
    <t>УТ000057972</t>
  </si>
  <si>
    <t>Гарнитура беспроводная вакуумная HOCO EW05 Plus, белый</t>
  </si>
  <si>
    <t>УТ000058355</t>
  </si>
  <si>
    <t>Гарнитура беспроводная вакуумная HOCO EW10, белый</t>
  </si>
  <si>
    <t>УТ000056773</t>
  </si>
  <si>
    <t>Гарнитура беспроводная вакуумная HOCO EW17, белый</t>
  </si>
  <si>
    <t>УТ000051899</t>
  </si>
  <si>
    <t>Гарнитура беспроводная вакуумная HOCO EW17, черный</t>
  </si>
  <si>
    <t>УТ000057973</t>
  </si>
  <si>
    <t>Гарнитура беспроводная вакуумная HOCO EW20, белый</t>
  </si>
  <si>
    <t>УТ000058356</t>
  </si>
  <si>
    <t>Гарнитура беспроводная вакуумная HOCO EW23, розовый</t>
  </si>
  <si>
    <t>УТ000052000</t>
  </si>
  <si>
    <t>Гарнитура беспроводная вакуумная HOCO EW26, белый</t>
  </si>
  <si>
    <t>УТ000056775</t>
  </si>
  <si>
    <t>Гарнитура беспроводная вакуумная HOCO EW39, жёлтый</t>
  </si>
  <si>
    <t>УТ000051995</t>
  </si>
  <si>
    <t>Гарнитура беспроводная вакуумная HOCO EW42, белый</t>
  </si>
  <si>
    <t>УТ000054595</t>
  </si>
  <si>
    <t>Гарнитура беспроводная вакуумная HOCO EW45, зеленый</t>
  </si>
  <si>
    <t>УТ000057219</t>
  </si>
  <si>
    <t>Гарнитура беспроводная вакуумная HOCO EW45, коричневый</t>
  </si>
  <si>
    <t>УТ000054596</t>
  </si>
  <si>
    <t>Гарнитура беспроводная вакуумная HOCO EW46, коричневый</t>
  </si>
  <si>
    <t>УТ000054597</t>
  </si>
  <si>
    <t>Гарнитура беспроводная вакуумная HOCO EW46, синий</t>
  </si>
  <si>
    <t>УТ000033008</t>
  </si>
  <si>
    <t>Гарнитура беспроводная вакуумная Perfeo BALANCE, черный</t>
  </si>
  <si>
    <t>УТ000036251</t>
  </si>
  <si>
    <t>Гарнитура беспроводная вакуумная Perfeo Bells, черный</t>
  </si>
  <si>
    <t>УТ000040731</t>
  </si>
  <si>
    <t>Гарнитура беспроводная вакуумная Ritmix RH-850BTH TWS (Bluetooth) белый</t>
  </si>
  <si>
    <t>УТ000047473</t>
  </si>
  <si>
    <t>Гарнитура беспроводная вакуумная Ritmix RH-888BTH TWS (Bluetooth) черный</t>
  </si>
  <si>
    <t>УТ000058341</t>
  </si>
  <si>
    <t>Гарнитура вакуумная беспроводная Borofone BE63, Talent, чёрный</t>
  </si>
  <si>
    <t>УТ000045902</t>
  </si>
  <si>
    <t>Гарнитура вакуумная беспроводная Borofone BW03, белый</t>
  </si>
  <si>
    <t>УТ000050222</t>
  </si>
  <si>
    <t>Гарнитура вакуумная беспроводная Borofone BW06, Manner, белый</t>
  </si>
  <si>
    <t>УТ000055259</t>
  </si>
  <si>
    <t>Гарнитура вакуумная беспроводная Borofone BW09, белый</t>
  </si>
  <si>
    <t>УТ000051896</t>
  </si>
  <si>
    <t>Гарнитура вакуумная беспроводная Borofone BW20, белый</t>
  </si>
  <si>
    <t>УТ000057212</t>
  </si>
  <si>
    <t>Гарнитура вакуумная беспроводная Borofone BW23, Crystal, Bluetooth, TWS, цвет: оранжевый</t>
  </si>
  <si>
    <t>УТ000057213</t>
  </si>
  <si>
    <t>Гарнитура вакуумная беспроводная Borofone BW24 Magic, пластик, bluetooth 5.3, микрофон, цвет: белый</t>
  </si>
  <si>
    <t>УТ000054330</t>
  </si>
  <si>
    <t>Гарнитура вакуумная беспроводная Borofone BW26, белый</t>
  </si>
  <si>
    <t>УТ000055261</t>
  </si>
  <si>
    <t>Гарнитура вакуумная беспроводная Borofone BW28, белый</t>
  </si>
  <si>
    <t>УТ000055264</t>
  </si>
  <si>
    <t>Гарнитура вакуумная беспроводная Borofone BW29, лайм</t>
  </si>
  <si>
    <t>УТ000055265</t>
  </si>
  <si>
    <t>Гарнитура вакуумная беспроводная Borofone BW29, розовый</t>
  </si>
  <si>
    <t>УТ000057214</t>
  </si>
  <si>
    <t>Гарнитура вакуумная беспроводная Borofone BW29, синий</t>
  </si>
  <si>
    <t>УТ000056765</t>
  </si>
  <si>
    <t>Гарнитура вакуумная беспроводная Borofone BW30, серый</t>
  </si>
  <si>
    <t>УТ000056766</t>
  </si>
  <si>
    <t>Гарнитура вакуумная беспроводная Borofone BW30, чёрный</t>
  </si>
  <si>
    <t>УТ000057215</t>
  </si>
  <si>
    <t>Гарнитура вакуумная беспроводная Borofone BW33, голубой</t>
  </si>
  <si>
    <t>УТ000054331</t>
  </si>
  <si>
    <t>Гарнитура вакуумная беспроводная Borofone BW35, True, белый</t>
  </si>
  <si>
    <t>УТ000056767</t>
  </si>
  <si>
    <t>Гарнитура вакуумная беспроводная Borofone BW39, белый</t>
  </si>
  <si>
    <t>УТ000058349</t>
  </si>
  <si>
    <t>Гарнитура вакуумная беспроводная Borofone BW42, белый</t>
  </si>
  <si>
    <t>УТ000058351</t>
  </si>
  <si>
    <t>Гарнитура вакуумная беспроводная Borofone BW43, белый</t>
  </si>
  <si>
    <t>УТ000058352</t>
  </si>
  <si>
    <t>Гарнитура вакуумная беспроводная Borofone BW43, фиолетовый</t>
  </si>
  <si>
    <t>УТ000058353</t>
  </si>
  <si>
    <t>Гарнитура вакуумная беспроводная Borofone BW59, белый</t>
  </si>
  <si>
    <t xml:space="preserve"> Беспроводные гарнитуры полноразмерные</t>
  </si>
  <si>
    <t>УТ000052734</t>
  </si>
  <si>
    <t>Гарнитура беспроводная Defender FreeMotion B571 серая, Bluetooth</t>
  </si>
  <si>
    <t>УТ000055237</t>
  </si>
  <si>
    <t>Гарнитура беспроводная Defender FreeMotion B595 черный, Bluetooth</t>
  </si>
  <si>
    <t>УТ000031346</t>
  </si>
  <si>
    <t>Гарнитура беспроводная SY-BT1605</t>
  </si>
  <si>
    <t>УТ000052260</t>
  </si>
  <si>
    <t>Гарнитура беспроводная полноразмерная Borofone BO11 (Bluetooth), синий</t>
  </si>
  <si>
    <t>УТ000048086</t>
  </si>
  <si>
    <t>Гарнитура беспроводная полноразмерная Borofone BO11 (Bluetooth), черный</t>
  </si>
  <si>
    <t>УТ000054964</t>
  </si>
  <si>
    <t>Гарнитура беспроводная полноразмерная Borofone BO12 (Bluetooth), синий</t>
  </si>
  <si>
    <t>УТ000054963</t>
  </si>
  <si>
    <t>Гарнитура беспроводная полноразмерная Borofone BO12 (Bluetooth), черный</t>
  </si>
  <si>
    <t>УТ000054962</t>
  </si>
  <si>
    <t>Гарнитура беспроводная полноразмерная Borofone BO17 (Bluetooth), черный</t>
  </si>
  <si>
    <t>УТ000054958</t>
  </si>
  <si>
    <t>Гарнитура беспроводная полноразмерная Borofone BO19 (Bluetooth), синий</t>
  </si>
  <si>
    <t>УТ000054957</t>
  </si>
  <si>
    <t>Гарнитура беспроводная полноразмерная Borofone BO19 (Bluetooth), черный</t>
  </si>
  <si>
    <t>УТ000052003</t>
  </si>
  <si>
    <t>Гарнитура беспроводная полноразмерная Borofone BO20 (Bluetooth), серый</t>
  </si>
  <si>
    <t>УТ000056749</t>
  </si>
  <si>
    <t>Гарнитура беспроводная полноразмерная Borofone BO22 (Bluetooth), синий</t>
  </si>
  <si>
    <t>УТ000057952</t>
  </si>
  <si>
    <t>Гарнитура беспроводная полноразмерная Borofone BO23 (Bluetooth), синий</t>
  </si>
  <si>
    <t>УТ000057951</t>
  </si>
  <si>
    <t>Гарнитура беспроводная полноразмерная Borofone BO23 (Bluetooth), чёрный</t>
  </si>
  <si>
    <t>УТ000058137</t>
  </si>
  <si>
    <t>Гарнитура беспроводная полноразмерная Borofone BO24 (Bluetooth), синий</t>
  </si>
  <si>
    <t>УТ000058342</t>
  </si>
  <si>
    <t>Гарнитура беспроводная полноразмерная Borofone BO25 (Bluetooth), белый</t>
  </si>
  <si>
    <t>УТ000058961</t>
  </si>
  <si>
    <t>Гарнитура беспроводная полноразмерная Borofone BO25 (Bluetooth), чёрный</t>
  </si>
  <si>
    <t>УТ000039763</t>
  </si>
  <si>
    <t>Гарнитура беспроводная полноразмерная Borofone BO4 красный</t>
  </si>
  <si>
    <t>УТ000039764</t>
  </si>
  <si>
    <t>Гарнитура беспроводная полноразмерная Borofone BO4 синий</t>
  </si>
  <si>
    <t>УТ000034220</t>
  </si>
  <si>
    <t>Гарнитура беспроводная полноразмерная Borofone BO4 чёрный</t>
  </si>
  <si>
    <t>УТ000057971</t>
  </si>
  <si>
    <t>Гарнитура беспроводная полноразмерная HOCO ESD14, чёрный</t>
  </si>
  <si>
    <t>УТ000034224</t>
  </si>
  <si>
    <t>Гарнитура беспроводная полноразмерная HOCO W25, красный</t>
  </si>
  <si>
    <t>УТ000039767</t>
  </si>
  <si>
    <t>Гарнитура беспроводная полноразмерная HOCO W25, серый</t>
  </si>
  <si>
    <t>УТ000047464</t>
  </si>
  <si>
    <t>Гарнитура беспроводная полноразмерная HOCO W25, синий</t>
  </si>
  <si>
    <t>УТ000042677</t>
  </si>
  <si>
    <t>Гарнитура беспроводная полноразмерная HOCO W28, синий</t>
  </si>
  <si>
    <t>УТ000039770</t>
  </si>
  <si>
    <t>Гарнитура беспроводная полноразмерная HOCO W28, чёрный</t>
  </si>
  <si>
    <t>УТ000054956</t>
  </si>
  <si>
    <t>Гарнитура беспроводная полноразмерная HOCO W30, красный</t>
  </si>
  <si>
    <t>УТ000053220</t>
  </si>
  <si>
    <t>Гарнитура беспроводная полноразмерная HOCO W30, синий</t>
  </si>
  <si>
    <t>УТ000053223</t>
  </si>
  <si>
    <t>Гарнитура беспроводная полноразмерная HOCO W33, серый</t>
  </si>
  <si>
    <t>УТ000053224</t>
  </si>
  <si>
    <t>Гарнитура беспроводная полноразмерная HOCO W33, синий</t>
  </si>
  <si>
    <t>УТ000055248</t>
  </si>
  <si>
    <t>Гарнитура беспроводная полноразмерная HOCO W40, синий</t>
  </si>
  <si>
    <t>УТ000056753</t>
  </si>
  <si>
    <t>Гарнитура беспроводная полноразмерная HOCO W41, розовый</t>
  </si>
  <si>
    <t>УТ000058343</t>
  </si>
  <si>
    <t>Гарнитура беспроводная полноразмерная HOCO W43, белый</t>
  </si>
  <si>
    <t>УТ000058344</t>
  </si>
  <si>
    <t>Гарнитура беспроводная полноразмерная HOCO W43, синий</t>
  </si>
  <si>
    <t>УТ000058345</t>
  </si>
  <si>
    <t>Гарнитура беспроводная полноразмерная HOCO W43, фиолетовый</t>
  </si>
  <si>
    <t>УТ000057443</t>
  </si>
  <si>
    <t>Гарнитура беспроводная полноразмерная HOCO W46, коричневый</t>
  </si>
  <si>
    <t>УТ000049363</t>
  </si>
  <si>
    <t>Гарнитура полноразмерная беспроводная Defender FreeMotion B552 черный Bluetooth</t>
  </si>
  <si>
    <t>УТ000052733</t>
  </si>
  <si>
    <t>Гарнитура полноразмерная беспроводная Defender FreeMotion B555 черный Bluetooth</t>
  </si>
  <si>
    <t>УТ000047534</t>
  </si>
  <si>
    <t>Гарнитура полноразмерная беспроводная Defender FreeMotion B575 черный+красный Bluetooth</t>
  </si>
  <si>
    <t>УТ000035721</t>
  </si>
  <si>
    <t>Гарнитура полноразмерная беспроводная Dream DRM-P47, зеленый</t>
  </si>
  <si>
    <t>УТ000035722</t>
  </si>
  <si>
    <t>Гарнитура полноразмерная беспроводная Dream DRM-P47, красный</t>
  </si>
  <si>
    <t>УТ000035723</t>
  </si>
  <si>
    <t>Гарнитура полноразмерная беспроводная Dream DRM-P47, синий</t>
  </si>
  <si>
    <t>УТ000035724</t>
  </si>
  <si>
    <t>Гарнитура полноразмерная беспроводная Dream DRM-P47, черный</t>
  </si>
  <si>
    <t>УТ000050517</t>
  </si>
  <si>
    <t>Гарнитура полноразмерная беспроводная Dream P47M, черный</t>
  </si>
  <si>
    <t>УТ000050763</t>
  </si>
  <si>
    <t>Гарнитура полноразмерная беспроводная Perfeo MATE черные</t>
  </si>
  <si>
    <t xml:space="preserve"> Вакуумные, вкладыши, клипсы гарнитуры</t>
  </si>
  <si>
    <t>УТ000049051</t>
  </si>
  <si>
    <t>Гарнитура вакуумная Afkas-nova AF-61</t>
  </si>
  <si>
    <t>УТ000034147</t>
  </si>
  <si>
    <t>Гарнитура вакуумная Borofone BM20, белый</t>
  </si>
  <si>
    <t>УТ000034148</t>
  </si>
  <si>
    <t>Гарнитура вакуумная Borofone BM20, черный</t>
  </si>
  <si>
    <t>УТ000036215</t>
  </si>
  <si>
    <t>Гарнитура вакуумная Borofone BM21, белый</t>
  </si>
  <si>
    <t>УТ000033125</t>
  </si>
  <si>
    <t>Гарнитура вакуумная Borofone BM21, черный</t>
  </si>
  <si>
    <t>УТ000036216</t>
  </si>
  <si>
    <t>Гарнитура вакуумная Borofone BM23, белый</t>
  </si>
  <si>
    <t>УТ000034566</t>
  </si>
  <si>
    <t>Гарнитура вакуумная Borofone BM24, белый</t>
  </si>
  <si>
    <t>УТ000033126</t>
  </si>
  <si>
    <t>Гарнитура вакуумная Borofone BM24, черный</t>
  </si>
  <si>
    <t>УТ000035287</t>
  </si>
  <si>
    <t>Гарнитура вакуумная Borofone BM25, белый</t>
  </si>
  <si>
    <t>УТ000033128</t>
  </si>
  <si>
    <t>Гарнитура вакуумная Borofone BM25, черный</t>
  </si>
  <si>
    <t>УТ000044222</t>
  </si>
  <si>
    <t>Гарнитура вакуумная Borofone BM26, белый</t>
  </si>
  <si>
    <t>УТ000033129</t>
  </si>
  <si>
    <t>Гарнитура вакуумная Borofone BM26, черный</t>
  </si>
  <si>
    <t>УТ000035289</t>
  </si>
  <si>
    <t>Гарнитура вакуумная Borofone BM28, белый</t>
  </si>
  <si>
    <t>УТ000034215</t>
  </si>
  <si>
    <t>Гарнитура вакуумная Borofone BM28, черный</t>
  </si>
  <si>
    <t>УТ000034216</t>
  </si>
  <si>
    <t>Гарнитура вакуумная Borofone BM29, черный</t>
  </si>
  <si>
    <t>УТ000039615</t>
  </si>
  <si>
    <t>Гарнитура вакуумная Borofone BM30Pro, белый</t>
  </si>
  <si>
    <t>УТ000034151</t>
  </si>
  <si>
    <t>Гарнитура вакуумная Borofone BM31, белый</t>
  </si>
  <si>
    <t>УТ000034152</t>
  </si>
  <si>
    <t>Гарнитура вакуумная Borofone BM31, черный</t>
  </si>
  <si>
    <t>УТ000042698</t>
  </si>
  <si>
    <t>Гарнитура вакуумная Borofone BM35, серебро</t>
  </si>
  <si>
    <t>УТ000042699</t>
  </si>
  <si>
    <t>Гарнитура вакуумная Borofone BM35, черный</t>
  </si>
  <si>
    <t>УТ000047081</t>
  </si>
  <si>
    <t>Гарнитура вакуумная Borofone BM36, черный</t>
  </si>
  <si>
    <t>УТ000046406</t>
  </si>
  <si>
    <t>Гарнитура вакуумная Borofone BM37, белый</t>
  </si>
  <si>
    <t>УТ000046407</t>
  </si>
  <si>
    <t>Гарнитура вакуумная Borofone BM37, черный</t>
  </si>
  <si>
    <t>УТ000040926</t>
  </si>
  <si>
    <t>Гарнитура вакуумная Borofone BM39, белый</t>
  </si>
  <si>
    <t>УТ000041711</t>
  </si>
  <si>
    <t>Гарнитура вакуумная Borofone BM39, черный</t>
  </si>
  <si>
    <t>УТ000044223</t>
  </si>
  <si>
    <t>Гарнитура вакуумная Borofone BM42, белый</t>
  </si>
  <si>
    <t>УТ000044224</t>
  </si>
  <si>
    <t>Гарнитура вакуумная Borofone BM43, белый</t>
  </si>
  <si>
    <t>УТ000048292</t>
  </si>
  <si>
    <t>Гарнитура вакуумная Borofone BM43, черный</t>
  </si>
  <si>
    <t>УТ000042700</t>
  </si>
  <si>
    <t>Гарнитура вакуумная Borofone BM45, белый</t>
  </si>
  <si>
    <t>УТ000044864</t>
  </si>
  <si>
    <t>Гарнитура вакуумная Borofone BM49, белый</t>
  </si>
  <si>
    <t>УТ000050579</t>
  </si>
  <si>
    <t>Гарнитура вакуумная Borofone BM54, черный</t>
  </si>
  <si>
    <t>УТ000042703</t>
  </si>
  <si>
    <t>Гарнитура вакуумная Borofone BM55, черный</t>
  </si>
  <si>
    <t>УТ000047964</t>
  </si>
  <si>
    <t>Гарнитура вакуумная Borofone BM59, белый</t>
  </si>
  <si>
    <t>УТ000048296</t>
  </si>
  <si>
    <t>Гарнитура вакуумная Borofone BM59, черный</t>
  </si>
  <si>
    <t>УТ000048767</t>
  </si>
  <si>
    <t>Гарнитура вакуумная Borofone BM61, белый</t>
  </si>
  <si>
    <t>УТ000048093</t>
  </si>
  <si>
    <t>Гарнитура вакуумная Borofone BM62, красный</t>
  </si>
  <si>
    <t>УТ000048094</t>
  </si>
  <si>
    <t>Гарнитура вакуумная Borofone BM62, серебряный</t>
  </si>
  <si>
    <t>УТ000050582</t>
  </si>
  <si>
    <t>Гарнитура вакуумная Borofone BM63, белый</t>
  </si>
  <si>
    <t>УТ000048710</t>
  </si>
  <si>
    <t>Гарнитура вакуумная Borofone BM64, белый</t>
  </si>
  <si>
    <t>УТ000048711</t>
  </si>
  <si>
    <t>Гарнитура вакуумная Borofone BM64, черный</t>
  </si>
  <si>
    <t>УТ000048095</t>
  </si>
  <si>
    <t>Гарнитура вакуумная Borofone BM65, синий</t>
  </si>
  <si>
    <t>УТ000051101</t>
  </si>
  <si>
    <t>Гарнитура вакуумная Borofone BM65, черный</t>
  </si>
  <si>
    <t>УТ000051888</t>
  </si>
  <si>
    <t>Гарнитура вакуумная Borofone BM66, серебро</t>
  </si>
  <si>
    <t>УТ000048843</t>
  </si>
  <si>
    <t>Гарнитура вакуумная Borofone BM66, серый</t>
  </si>
  <si>
    <t>УТ000048712</t>
  </si>
  <si>
    <t>Гарнитура вакуумная Borofone BM68, белый</t>
  </si>
  <si>
    <t>УТ000048713</t>
  </si>
  <si>
    <t>Гарнитура вакуумная Borofone BM68, черный</t>
  </si>
  <si>
    <t>УТ000051982</t>
  </si>
  <si>
    <t>Гарнитура вакуумная Borofone BM69, белый</t>
  </si>
  <si>
    <t>УТ000051981</t>
  </si>
  <si>
    <t>Гарнитура вакуумная Borofone BM69, черный</t>
  </si>
  <si>
    <t>УТ000055253</t>
  </si>
  <si>
    <t>Гарнитура вакуумная Borofone BM70, серебро</t>
  </si>
  <si>
    <t>УТ000055254</t>
  </si>
  <si>
    <t>Гарнитура вакуумная Borofone BM70, серый</t>
  </si>
  <si>
    <t>УТ000054954</t>
  </si>
  <si>
    <t>Гарнитура вакуумная Borofone BM72, белый упак.пак</t>
  </si>
  <si>
    <t>УТ000056755</t>
  </si>
  <si>
    <t>Гарнитура вакуумная Borofone BM74, чёрный  упак.пак</t>
  </si>
  <si>
    <t>УТ000056756</t>
  </si>
  <si>
    <t>Гарнитура вакуумная Borofone BM75, серебро упак.пак</t>
  </si>
  <si>
    <t>УТ000059284</t>
  </si>
  <si>
    <t>Гарнитура вакуумная Borofone BM76, белый</t>
  </si>
  <si>
    <t>УТ000059283</t>
  </si>
  <si>
    <t>Гарнитура вакуумная Borofone BM76, черный</t>
  </si>
  <si>
    <t>УТ000056839</t>
  </si>
  <si>
    <t>Гарнитура вакуумная Borofone BM77, белый упак.пак</t>
  </si>
  <si>
    <t>УТ000056757</t>
  </si>
  <si>
    <t>Гарнитура вакуумная Borofone BM77, черный упак.пак</t>
  </si>
  <si>
    <t>УТ000057948</t>
  </si>
  <si>
    <t>Гарнитура вакуумная Borofone BM83, белый</t>
  </si>
  <si>
    <t>УТ000057950</t>
  </si>
  <si>
    <t>Гарнитура вакуумная Borofone BM84, белый</t>
  </si>
  <si>
    <t>УТ000058139</t>
  </si>
  <si>
    <t>Гарнитура вакуумная Borofone BM84, чёрный</t>
  </si>
  <si>
    <t>УТ000051992</t>
  </si>
  <si>
    <t>Гарнитура вакуумная HOCO M101, белый</t>
  </si>
  <si>
    <t>УТ000051991</t>
  </si>
  <si>
    <t>Гарнитура вакуумная HOCO M101, черный</t>
  </si>
  <si>
    <t>УТ000058964</t>
  </si>
  <si>
    <t>Гарнитура вакуумная HOCO M102, белый</t>
  </si>
  <si>
    <t>УТ000058965</t>
  </si>
  <si>
    <t>Гарнитура вакуумная HOCO M102, чёрный</t>
  </si>
  <si>
    <t>УТ000058966</t>
  </si>
  <si>
    <t>Гарнитура вакуумная HOCO M103, белый</t>
  </si>
  <si>
    <t>УТ000056758</t>
  </si>
  <si>
    <t>Гарнитура вакуумная HOCO M106, серебро</t>
  </si>
  <si>
    <t>УТ000056759</t>
  </si>
  <si>
    <t>Гарнитура вакуумная HOCO M106, серый</t>
  </si>
  <si>
    <t>УТ000056762</t>
  </si>
  <si>
    <t>Гарнитура вакуумная HOCO M107, оранжевый</t>
  </si>
  <si>
    <t>УТ000056763</t>
  </si>
  <si>
    <t>Гарнитура вакуумная HOCO M107, фиолетовый</t>
  </si>
  <si>
    <t>УТ000056764</t>
  </si>
  <si>
    <t>Гарнитура вакуумная HOCO M108, серебро</t>
  </si>
  <si>
    <t>УТ000058140</t>
  </si>
  <si>
    <t>Гарнитура вакуумная HOCO M112, белый</t>
  </si>
  <si>
    <t>УТ000058141</t>
  </si>
  <si>
    <t>Гарнитура вакуумная HOCO M112, чёрный</t>
  </si>
  <si>
    <t>УТ000028912</t>
  </si>
  <si>
    <t>Гарнитура вакуумная HOCO M14, красный</t>
  </si>
  <si>
    <t>УТ000029337</t>
  </si>
  <si>
    <t>Гарнитура вакуумная HOCO M34, белый</t>
  </si>
  <si>
    <t>УТ000031522</t>
  </si>
  <si>
    <t>Гарнитура вакуумная HOCO M37, белый</t>
  </si>
  <si>
    <t>УТ000030790</t>
  </si>
  <si>
    <t>Гарнитура вакуумная HOCO M37, чёрный</t>
  </si>
  <si>
    <t>УТ000030449</t>
  </si>
  <si>
    <t>Гарнитура вакуумная HOCO M40, белый</t>
  </si>
  <si>
    <t>УТ000034005</t>
  </si>
  <si>
    <t>Гарнитура вакуумная HOCO M58, белый</t>
  </si>
  <si>
    <t>УТ000033539</t>
  </si>
  <si>
    <t>Гарнитура вакуумная HOCO M58, черный</t>
  </si>
  <si>
    <t>УТ000034008</t>
  </si>
  <si>
    <t>Гарнитура вакуумная HOCO M60, белый</t>
  </si>
  <si>
    <t>УТ000034009</t>
  </si>
  <si>
    <t>Гарнитура вакуумная HOCO M61 (один наушник), белый</t>
  </si>
  <si>
    <t>УТ000034010</t>
  </si>
  <si>
    <t>Гарнитура вакуумная HOCO M61 (один наушник), черный</t>
  </si>
  <si>
    <t>УТ000036161</t>
  </si>
  <si>
    <t>Гарнитура вакуумная HOCO M63, серебро</t>
  </si>
  <si>
    <t>УТ000036162</t>
  </si>
  <si>
    <t>Гарнитура вакуумная HOCO M63, чёрный</t>
  </si>
  <si>
    <t>УТ000044007</t>
  </si>
  <si>
    <t>Гарнитура вакуумная HOCO M70, белый</t>
  </si>
  <si>
    <t>УТ000041683</t>
  </si>
  <si>
    <t>Гарнитура вакуумная HOCO M71, белый</t>
  </si>
  <si>
    <t>УТ000037601</t>
  </si>
  <si>
    <t>Гарнитура вакуумная HOCO M72, белый</t>
  </si>
  <si>
    <t>УТ000037602</t>
  </si>
  <si>
    <t>Гарнитура вакуумная HOCO M72, синий</t>
  </si>
  <si>
    <t>УТ000037603</t>
  </si>
  <si>
    <t>Гарнитура вакуумная HOCO M72, черный</t>
  </si>
  <si>
    <t>УТ000051103</t>
  </si>
  <si>
    <t>Гарнитура вакуумная HOCO M79, черный</t>
  </si>
  <si>
    <t>УТ000045987</t>
  </si>
  <si>
    <t>Гарнитура вакуумная HOCO M82, белый</t>
  </si>
  <si>
    <t>УТ000058346</t>
  </si>
  <si>
    <t>Гарнитура вакуумная HOCO M86, белый</t>
  </si>
  <si>
    <t>УТ000051893</t>
  </si>
  <si>
    <t>Гарнитура вакуумная HOCO M86, синий</t>
  </si>
  <si>
    <t>УТ000051988</t>
  </si>
  <si>
    <t>Гарнитура вакуумная HOCO M94, белый</t>
  </si>
  <si>
    <t>УТ000051987</t>
  </si>
  <si>
    <t>Гарнитура вакуумная HOCO M94, черный</t>
  </si>
  <si>
    <t>УТ000051986</t>
  </si>
  <si>
    <t>Гарнитура вакуумная HOCO M98, серебро</t>
  </si>
  <si>
    <t>УТ000051985</t>
  </si>
  <si>
    <t>Гарнитура вакуумная HOCO M98, серый</t>
  </si>
  <si>
    <t>УТ000051984</t>
  </si>
  <si>
    <t>Гарнитура вакуумная HOCO M99, белый</t>
  </si>
  <si>
    <t>УТ000051983</t>
  </si>
  <si>
    <t>Гарнитура вакуумная HOCO M99, черный</t>
  </si>
  <si>
    <t>УТ000052371</t>
  </si>
  <si>
    <t>Гарнитура вакуумная WINMAX WS604, белый</t>
  </si>
  <si>
    <t>УТ000032203</t>
  </si>
  <si>
    <t>Гарнитура вакуумная стерео Celebrat D2 белый</t>
  </si>
  <si>
    <t>УТ000032206</t>
  </si>
  <si>
    <t>Гарнитура вакуумная стерео Celebrat D2 черный</t>
  </si>
  <si>
    <t>УТ000030443</t>
  </si>
  <si>
    <t>Гарнитура вакуумная стерео Celebrat D3 белый</t>
  </si>
  <si>
    <t>УТ000030444</t>
  </si>
  <si>
    <t>Гарнитура вакуумная стерео Celebrat D3 черный</t>
  </si>
  <si>
    <t>УТ000044579</t>
  </si>
  <si>
    <t>Гарнитура вакуумная стерео Celebrat G13 белый</t>
  </si>
  <si>
    <t>УТ000044580</t>
  </si>
  <si>
    <t>Гарнитура вакуумная стерео Celebrat G13 черный</t>
  </si>
  <si>
    <t>УТ000032207</t>
  </si>
  <si>
    <t>Гарнитура вакуумная стерео Celebrat G3 черный</t>
  </si>
  <si>
    <t>УТ000032209</t>
  </si>
  <si>
    <t>Гарнитура вакуумная стерео Celebrat G4 черный</t>
  </si>
  <si>
    <t>УТ000035726</t>
  </si>
  <si>
    <t>Гарнитура вакуумная стерео Dream DRM-K58, белый</t>
  </si>
  <si>
    <t>УТ000035725</t>
  </si>
  <si>
    <t>Гарнитура вакуумная стерео Dream DRM-K58-01 черный</t>
  </si>
  <si>
    <t>УТ000035158</t>
  </si>
  <si>
    <t>Гарнитура вакуумная стерео Dream K68, черный</t>
  </si>
  <si>
    <t>УТ000033229</t>
  </si>
  <si>
    <t>Гарнитура вакуумная стерео Dream S4 белый</t>
  </si>
  <si>
    <t>УТ000033230</t>
  </si>
  <si>
    <t>Гарнитура вакуумная стерео Dream S4 черный</t>
  </si>
  <si>
    <t>УТ000038527</t>
  </si>
  <si>
    <t>Гарнитура вакуумная стерео Dream Y1, белый</t>
  </si>
  <si>
    <t>УТ000043970</t>
  </si>
  <si>
    <t>Гарнитура вакуумная стерео Dream Y1, черный</t>
  </si>
  <si>
    <t>УТ000020608</t>
  </si>
  <si>
    <t>Гарнитура вакуумная стерео JBL C100 SIU (1.2м, 20-20000Гц, 16Ом, 103дБ/мВт) белая</t>
  </si>
  <si>
    <t>УТ000020609</t>
  </si>
  <si>
    <t>Гарнитура вакуумная стерео JBL C100 SIU (1.2м, 20-20000Гц, 16Ом, 103дБ/мВт) красная</t>
  </si>
  <si>
    <t>УТ000020611</t>
  </si>
  <si>
    <t>Гарнитура вакуумная стерео JBL T110 (1.2м, 20-20000Гц, 16Ом, 100дБ/мВт) чёрная</t>
  </si>
  <si>
    <t>УТ000031281</t>
  </si>
  <si>
    <t>Гарнитура вакуумная стерео SmartBuy S4 белый (SBH-012K)</t>
  </si>
  <si>
    <t>УТ000042838</t>
  </si>
  <si>
    <t>Гарнитура вакуумная стерео SmartBuy S9, желтый (SBH-660)</t>
  </si>
  <si>
    <t>УТ000040175</t>
  </si>
  <si>
    <t>Наушники вакуумные Afkas-nova AF-302</t>
  </si>
  <si>
    <t>УТ000041556</t>
  </si>
  <si>
    <t>Наушники вакуумные Afkas-nova AF-41</t>
  </si>
  <si>
    <t>УТ000041558</t>
  </si>
  <si>
    <t>Наушники вакуумные Afkas-nova AF-46</t>
  </si>
  <si>
    <t>УТ000049052</t>
  </si>
  <si>
    <t>Наушники вакуумные Afkas-nova AF-69</t>
  </si>
  <si>
    <t>УТ000058962</t>
  </si>
  <si>
    <t>Наушники внутриканальные HOCO M101 Pro Crystal, микрофон, кнопка ответа, кабель 1.2м, цвет: белый</t>
  </si>
  <si>
    <t>УТ000058963</t>
  </si>
  <si>
    <t>Наушники внутриканальные HOCO M101 Pro Crystal, микрофон, кнопка ответа, кабель 1.2м, цвет: чёрный</t>
  </si>
  <si>
    <t xml:space="preserve"> Полноразмерные гарнитуры</t>
  </si>
  <si>
    <t>УТ000046318</t>
  </si>
  <si>
    <t>Гарнитура беспроводная полноразмерная HOCO W28, красный</t>
  </si>
  <si>
    <t>УТ000010063</t>
  </si>
  <si>
    <t>Гарнитура полноразмерная Defender Aura 104 (с регулят. громк. черная)</t>
  </si>
  <si>
    <t>00000002499</t>
  </si>
  <si>
    <t>Гарнитура полноразмерная Hama CS-498 (с регулят. громк.)</t>
  </si>
  <si>
    <t>УТ000002203</t>
  </si>
  <si>
    <t>Гарнитура полноразмерная SmartBuy SBH-7000 COMMANDO, рег.громкости, кабель 2.5 м,</t>
  </si>
  <si>
    <t xml:space="preserve"> Полноразмерные игровые гарнитуры</t>
  </si>
  <si>
    <t>УТ000055431</t>
  </si>
  <si>
    <t>Гарнитура игровая полноразмерная RUSH ASPID,  чёрно-зелёная SBHG-9760</t>
  </si>
  <si>
    <t>УТ000014496</t>
  </si>
  <si>
    <t>Гарнитура игровая полноразмерная RUSH SNAKE, чёрно-зелёная (SBHG-1200)</t>
  </si>
  <si>
    <t>УТ000014500</t>
  </si>
  <si>
    <t>Гарнитура игровая полноразмерная RUSH SNAKE, чёрно-синяя (SBHG-1000)</t>
  </si>
  <si>
    <t>УТ000014502</t>
  </si>
  <si>
    <t>Гарнитура игровая полноразмерная RUSH TAIPAN, вирт.звук 7.1, черно-зелёная</t>
  </si>
  <si>
    <t>УТ000014504</t>
  </si>
  <si>
    <t>Гарнитура игровая полноразмерная RUSH TAIPAN, вирт.звук 7.1, черно-синяя</t>
  </si>
  <si>
    <t>УТ000019352</t>
  </si>
  <si>
    <t>Гарнитура игровая полноразмерная RUSH VIPER,  чёрно-зелёные (SBHG-2100)</t>
  </si>
  <si>
    <t>УТ000019351</t>
  </si>
  <si>
    <t>Гарнитура игровая полноразмерная RUSH VIPER,  чёрно-красные (SBHG-2200)</t>
  </si>
  <si>
    <t>УТ000011689</t>
  </si>
  <si>
    <t>Гарнитура полноразмерная Defender Warhead G-120 игровые 2м (красный+белый)</t>
  </si>
  <si>
    <t>УТ000011690</t>
  </si>
  <si>
    <t>Гарнитура полноразмерная Defender Warhead G-120 игровый 2м (черный+оранжевый)</t>
  </si>
  <si>
    <t xml:space="preserve"> Наушники</t>
  </si>
  <si>
    <t xml:space="preserve"> Арматурные, динамические наушники</t>
  </si>
  <si>
    <t>УТ000058492</t>
  </si>
  <si>
    <t>Кабель для наушников с микрофоном, позолоченные контакты, мeдь оfc 99,9</t>
  </si>
  <si>
    <t>УТ000058489</t>
  </si>
  <si>
    <t>Наушники динамические, арматурные KZ-EDC, KZ Acoustics</t>
  </si>
  <si>
    <t>УТ000058488</t>
  </si>
  <si>
    <t>Наушники динамические, арматурные KZ-EDX Lite, KZ Acoustics</t>
  </si>
  <si>
    <t>УТ000058490</t>
  </si>
  <si>
    <t>Наушники динамические, арматурные KZ-EDXS, KZ Acoustics</t>
  </si>
  <si>
    <t xml:space="preserve"> Вакуумные наушники</t>
  </si>
  <si>
    <t>УТ000044376</t>
  </si>
  <si>
    <t>Наушники ваккумные стерео Dream Y2, бел</t>
  </si>
  <si>
    <t>УТ000036847</t>
  </si>
  <si>
    <t>Наушники ваккумные стерео Dream Y2, черный</t>
  </si>
  <si>
    <t>УТ000037829</t>
  </si>
  <si>
    <t>Наушники вакуум Dream H10, черный</t>
  </si>
  <si>
    <t>УТ000043972</t>
  </si>
  <si>
    <t>Наушники вакуум Dream S1, красный</t>
  </si>
  <si>
    <t>УТ000043973</t>
  </si>
  <si>
    <t>Наушники вакуум Dream S1, серый</t>
  </si>
  <si>
    <t>УТ000043975</t>
  </si>
  <si>
    <t>Наушники вакуум Dream S1, фиолетовый</t>
  </si>
  <si>
    <t>УТ000000787</t>
  </si>
  <si>
    <t>Наушники вакуум SmartBuy Color Trend, зеленые (SBE-3200)</t>
  </si>
  <si>
    <t>УТ000017802</t>
  </si>
  <si>
    <t>Наушники вакуум SmartBuy Prime желтые (SBE-160)</t>
  </si>
  <si>
    <t>УТ000017806</t>
  </si>
  <si>
    <t>Наушники вакуум SmartBuy Prime зеленые (SBE-155)</t>
  </si>
  <si>
    <t>УТ000009961</t>
  </si>
  <si>
    <t>Наушники вакуум А62 красные, плоск. кабель</t>
  </si>
  <si>
    <t>УТ000050415</t>
  </si>
  <si>
    <t>Наушники вакуумные Afkas-nova AF-55</t>
  </si>
  <si>
    <t>УТ000055450</t>
  </si>
  <si>
    <t>Наушники вакуумные SmartBuy A5 черный, коробка (SBE-201K)</t>
  </si>
  <si>
    <t>УТ000050390</t>
  </si>
  <si>
    <t>Наушники вакуумные Stereo Z01 тканевая оплетка</t>
  </si>
  <si>
    <t>УТ000050383</t>
  </si>
  <si>
    <t>Наушники вакуумные Super Bass X01</t>
  </si>
  <si>
    <t>УТ000050385</t>
  </si>
  <si>
    <t>Наушники вакуумные Super Bass X03</t>
  </si>
  <si>
    <t>УТ000013653</t>
  </si>
  <si>
    <t>Наушники вакуумные стерео MB черные техпак</t>
  </si>
  <si>
    <t xml:space="preserve"> Полноразмерные  наушники</t>
  </si>
  <si>
    <t>УТ000014506</t>
  </si>
  <si>
    <t>Наушники полноразмерные SmartBuy KIDS, детские, с ограничителем громк., синие</t>
  </si>
  <si>
    <t xml:space="preserve"> Носители информации и аксессуары</t>
  </si>
  <si>
    <t xml:space="preserve"> USB Flash</t>
  </si>
  <si>
    <t>УТ000057544</t>
  </si>
  <si>
    <t>USB флеш-диск Exployd 16Gb 640 белый</t>
  </si>
  <si>
    <t>УТ000057547</t>
  </si>
  <si>
    <t>USB флеш-диск Exployd 32Gb 640 белый</t>
  </si>
  <si>
    <t>УТ000057548</t>
  </si>
  <si>
    <t>USB флеш-диск Exployd 32Gb 640 чёрный</t>
  </si>
  <si>
    <t>УТ000057551</t>
  </si>
  <si>
    <t>USB флеш-диск Exployd 64Gb 640 белый</t>
  </si>
  <si>
    <t>УТ000056539</t>
  </si>
  <si>
    <t>USB флеш-диск Netac 128Gb U116 mini White</t>
  </si>
  <si>
    <t>УТ000050068</t>
  </si>
  <si>
    <t>USB флеш-диск Netac 32Gb U326 Silver</t>
  </si>
  <si>
    <t>УТ000050071</t>
  </si>
  <si>
    <t>USB флеш-диск Netac 64Gb U116 mini White</t>
  </si>
  <si>
    <t>УТ000050073</t>
  </si>
  <si>
    <t>USB флеш-диск Netac 64Gb U278 Black/Silver</t>
  </si>
  <si>
    <t>УТ000050077</t>
  </si>
  <si>
    <t>USB флеш-диск Netac 64Gb UM81 Black Metal</t>
  </si>
  <si>
    <t>УТ000057546</t>
  </si>
  <si>
    <t>USB флеш-диск OltraMax 16Gb 500 SMART, OTG USB DRIVE графит</t>
  </si>
  <si>
    <t>УТ000018374</t>
  </si>
  <si>
    <t>USB флеш-диск OltraMax 32Gb  70 White</t>
  </si>
  <si>
    <t>УТ000057549</t>
  </si>
  <si>
    <t>USB флеш-диск OltraMax 32Gb 330 белый</t>
  </si>
  <si>
    <t>УТ000057550</t>
  </si>
  <si>
    <t>USB флеш-диск OltraMax 32Gb 330 красный</t>
  </si>
  <si>
    <t>УТ000057540</t>
  </si>
  <si>
    <t>USB флеш-диск OltraMax 4Gb 330 красный</t>
  </si>
  <si>
    <t>УТ000056538</t>
  </si>
  <si>
    <t>USB флеш-диск OltraMax 64Gb 70 White</t>
  </si>
  <si>
    <t>УТ000057542</t>
  </si>
  <si>
    <t>USB флеш-диск OltraMax 8Gb 330 красный</t>
  </si>
  <si>
    <t>УТ000057543</t>
  </si>
  <si>
    <t>USB флеш-диск OltraMax 8Gb 500 SMART, OTG USB DRIVE серый</t>
  </si>
  <si>
    <t>УТ000021413</t>
  </si>
  <si>
    <t>USB флеш-диск SanDisk 3.0 16Gb Ultra Flair</t>
  </si>
  <si>
    <t>УТ000056999</t>
  </si>
  <si>
    <t>USB флеш-диск SanDisk 3.1 16Gb Ultra Fit</t>
  </si>
  <si>
    <t>УТ000057000</t>
  </si>
  <si>
    <t>USB флеш-диск SanDisk 3.2 32Gb Ultra Curve зелёный</t>
  </si>
  <si>
    <t>УТ000057001</t>
  </si>
  <si>
    <t>USB флеш-диск SanDisk 3.2 32Gb Ultra Curve синий</t>
  </si>
  <si>
    <t>УТ000030758</t>
  </si>
  <si>
    <t>USB флеш-диск SmartBuy 128Gb 3.0 Glossy Dark Blue</t>
  </si>
  <si>
    <t>УТ000054995</t>
  </si>
  <si>
    <t>USB флеш-диск SmartBuy 128Gb 3.0 M1 Metal Apricot</t>
  </si>
  <si>
    <t>УТ000056431</t>
  </si>
  <si>
    <t>USB флеш-диск SmartBuy 128Gb 3.0 Scout Black</t>
  </si>
  <si>
    <t>УТ000056430</t>
  </si>
  <si>
    <t>USB флеш-диск SmartBuy 128Gb 3.0 Scout White</t>
  </si>
  <si>
    <t>УТ000054999</t>
  </si>
  <si>
    <t>USB флеш-диск SmartBuy 128Gb 3.0 Twist Red</t>
  </si>
  <si>
    <t>УТ000049708</t>
  </si>
  <si>
    <t>USB флеш-диск SmartBuy 128Gb 3.0/3.1 Clue Black</t>
  </si>
  <si>
    <t>УТ000049709</t>
  </si>
  <si>
    <t>USB флеш-диск SmartBuy 128Gb 3.0/3.1 Clue White</t>
  </si>
  <si>
    <t>УТ000035822</t>
  </si>
  <si>
    <t>USB флеш-диск SmartBuy 128Gb 3.0/3.1 Diamond Blue</t>
  </si>
  <si>
    <t>УТ000041252</t>
  </si>
  <si>
    <t>USB флеш-диск SmartBuy 128Gb 3.0/3.1 Dock Black</t>
  </si>
  <si>
    <t>УТ000034438</t>
  </si>
  <si>
    <t>USB флеш-диск SmartBuy 128Gb 3.0/3.1 Glossy Dark Grey</t>
  </si>
  <si>
    <t>УТ000032275</t>
  </si>
  <si>
    <t>USB флеш-диск SmartBuy 128Gb 3.0/3.1 V-Cut Black</t>
  </si>
  <si>
    <t>УТ000041543</t>
  </si>
  <si>
    <t>USB флеш-диск SmartBuy 128Gb 3.0/3.1 V-Cut Blue</t>
  </si>
  <si>
    <t>УТ000057131</t>
  </si>
  <si>
    <t>USB флеш-диск SmartBuy 16Gb 3.0  IRON-2 Metal/Black</t>
  </si>
  <si>
    <t>УТ000002042</t>
  </si>
  <si>
    <t>USB флеш-диск SmartBuy 16Gb 3.0 Fashion Black</t>
  </si>
  <si>
    <t>УТ000057132</t>
  </si>
  <si>
    <t>USB флеш-диск SmartBuy 16Gb 3.0 Scout Black</t>
  </si>
  <si>
    <t>УТ000057133</t>
  </si>
  <si>
    <t>USB флеш-диск SmartBuy 16Gb 3.0 Scout White</t>
  </si>
  <si>
    <t>УТ000057130</t>
  </si>
  <si>
    <t>USB флеш-диск SmartBuy 16Gb 3.0 Twist Red</t>
  </si>
  <si>
    <t>00410054648</t>
  </si>
  <si>
    <t>USB флеш-диск SmartBuy 16Gb Click Black</t>
  </si>
  <si>
    <t>УТ000048852</t>
  </si>
  <si>
    <t>USB флеш-диск SmartBuy 16Gb Clue Blue</t>
  </si>
  <si>
    <t>УТ000048850</t>
  </si>
  <si>
    <t>USB флеш-диск SmartBuy 16Gb Clue Burgundy</t>
  </si>
  <si>
    <t>УТ000048851</t>
  </si>
  <si>
    <t>USB флеш-диск SmartBuy 16Gb Clue Red</t>
  </si>
  <si>
    <t>УТ000048849</t>
  </si>
  <si>
    <t>USB флеш-диск SmartBuy 16Gb Clue White</t>
  </si>
  <si>
    <t>УТ000048014</t>
  </si>
  <si>
    <t>USB флеш-диск SmartBuy 16Gb Clue Yellow</t>
  </si>
  <si>
    <t>00410054659</t>
  </si>
  <si>
    <t>USB флеш-диск SmartBuy 16Gb Crown Black</t>
  </si>
  <si>
    <t>00410054650</t>
  </si>
  <si>
    <t>USB флеш-диск SmartBuy 16Gb Crown White</t>
  </si>
  <si>
    <t>УТ000034935</t>
  </si>
  <si>
    <t>USB флеш-диск SmartBuy 16Gb Diamond Pink</t>
  </si>
  <si>
    <t>УТ000003459</t>
  </si>
  <si>
    <t>USB флеш-диск SmartBuy 16Gb Dock Blue</t>
  </si>
  <si>
    <t>УТ000003265</t>
  </si>
  <si>
    <t>USB флеш-диск SmartBuy 16Gb Dock Red</t>
  </si>
  <si>
    <t>00410054054</t>
  </si>
  <si>
    <t>USB флеш-диск SmartBuy 16Gb Glossy series Black</t>
  </si>
  <si>
    <t>00410054055</t>
  </si>
  <si>
    <t>USB флеш-диск SmartBuy 16Gb Glossy series Blue</t>
  </si>
  <si>
    <t>УТ000000532</t>
  </si>
  <si>
    <t>USB флеш-диск SmartBuy 16Gb Glossy series Orange</t>
  </si>
  <si>
    <t>УТ000009479</t>
  </si>
  <si>
    <t>USB флеш-диск SmartBuy 16Gb LARA Black</t>
  </si>
  <si>
    <t>УТ000009481</t>
  </si>
  <si>
    <t>USB флеш-диск SmartBuy 16Gb LARA Blue</t>
  </si>
  <si>
    <t>УТ000028413</t>
  </si>
  <si>
    <t>USB флеш-диск SmartBuy 16Gb LARA Red</t>
  </si>
  <si>
    <t>УТ000009480</t>
  </si>
  <si>
    <t>USB флеш-диск SmartBuy 16Gb LARA White</t>
  </si>
  <si>
    <t>УТ000009260</t>
  </si>
  <si>
    <t>USB флеш-диск SmartBuy 16Gb Quartz series Black</t>
  </si>
  <si>
    <t>УТ000008760</t>
  </si>
  <si>
    <t>USB флеш-диск SmartBuy 16Gb Quartz series Violet</t>
  </si>
  <si>
    <t>УТ000052622</t>
  </si>
  <si>
    <t>USB флеш-диск SmartBuy 16Gb Scout Black</t>
  </si>
  <si>
    <t>УТ000051470</t>
  </si>
  <si>
    <t>USB флеш-диск SmartBuy 16Gb Scout Blue</t>
  </si>
  <si>
    <t>УТ000051471</t>
  </si>
  <si>
    <t>USB флеш-диск SmartBuy 16Gb Scout Red</t>
  </si>
  <si>
    <t>УТ000052623</t>
  </si>
  <si>
    <t>USB флеш-диск SmartBuy 16Gb Scout White</t>
  </si>
  <si>
    <t>УТ000029543</t>
  </si>
  <si>
    <t>USB флеш-диск SmartBuy 16Gb STREAM Blue</t>
  </si>
  <si>
    <t>УТ000029544</t>
  </si>
  <si>
    <t>USB флеш-диск SmartBuy 16Gb STREAM Yellow</t>
  </si>
  <si>
    <t>УТ000051472</t>
  </si>
  <si>
    <t>USB флеш-диск SmartBuy 16Gb Twist Black</t>
  </si>
  <si>
    <t>УТ000051473</t>
  </si>
  <si>
    <t>USB флеш-диск SmartBuy 16Gb Twist Blue</t>
  </si>
  <si>
    <t>УТ000051474</t>
  </si>
  <si>
    <t>USB флеш-диск SmartBuy 16Gb Twist Pink</t>
  </si>
  <si>
    <t>УТ000051475</t>
  </si>
  <si>
    <t>USB флеш-диск SmartBuy 16Gb Twist Yellow</t>
  </si>
  <si>
    <t>00410052663</t>
  </si>
  <si>
    <t>USB флеш-диск SmartBuy 16Gb V-Cut Black</t>
  </si>
  <si>
    <t>00410052664</t>
  </si>
  <si>
    <t>USB флеш-диск SmartBuy 16Gb V-Cut Blue</t>
  </si>
  <si>
    <t>00410054059</t>
  </si>
  <si>
    <t>USB флеш-диск SmartBuy 16Gb V-Cut Silver</t>
  </si>
  <si>
    <t>УТ000042001</t>
  </si>
  <si>
    <t>USB флеш-диск SmartBuy 256Gb 3.0 Crown Blue</t>
  </si>
  <si>
    <t>УТ000057144</t>
  </si>
  <si>
    <t>USB флеш-диск SmartBuy 256Gb 3.0 Scout Black</t>
  </si>
  <si>
    <t>УТ000057145</t>
  </si>
  <si>
    <t>USB флеш-диск SmartBuy 256Gb 3.0 Scout Whit</t>
  </si>
  <si>
    <t>УТ000054788</t>
  </si>
  <si>
    <t>USB флеш-диск SmartBuy 256Gb 3.0 Twist Dual Type-C/Type-A</t>
  </si>
  <si>
    <t>УТ000034402</t>
  </si>
  <si>
    <t>USB флеш-диск SmartBuy 256Gb 3.0 V-Cut Silver</t>
  </si>
  <si>
    <t>УТ000051798</t>
  </si>
  <si>
    <t>USB флеш-диск SmartBuy 256Gb Twist Red</t>
  </si>
  <si>
    <t>УТ000056711</t>
  </si>
  <si>
    <t>USB флеш-диск SmartBuy 32Gb 3.0 M1 Metal Apricot</t>
  </si>
  <si>
    <t>УТ000035095</t>
  </si>
  <si>
    <t>USB флеш-диск SmartBuy 32Gb ART Black</t>
  </si>
  <si>
    <t>УТ000000905</t>
  </si>
  <si>
    <t>USB флеш-диск SmartBuy 32Gb Click Blue</t>
  </si>
  <si>
    <t>УТ000049932</t>
  </si>
  <si>
    <t>USB флеш-диск SmartBuy 32Gb Clue Black</t>
  </si>
  <si>
    <t>УТ000048858</t>
  </si>
  <si>
    <t>USB флеш-диск SmartBuy 32Gb Clue Blue</t>
  </si>
  <si>
    <t>УТ000048855</t>
  </si>
  <si>
    <t>USB флеш-диск SmartBuy 32Gb Clue Burgundy</t>
  </si>
  <si>
    <t>УТ000048857</t>
  </si>
  <si>
    <t>USB флеш-диск SmartBuy 32Gb Clue Red</t>
  </si>
  <si>
    <t>УТ000048854</t>
  </si>
  <si>
    <t>USB флеш-диск SmartBuy 32Gb Clue White</t>
  </si>
  <si>
    <t>УТ000048856</t>
  </si>
  <si>
    <t>USB флеш-диск SmartBuy 32Gb Clue Yellow</t>
  </si>
  <si>
    <t>00410054654</t>
  </si>
  <si>
    <t>USB флеш-диск SmartBuy 32Gb Crown Black</t>
  </si>
  <si>
    <t>00410054682</t>
  </si>
  <si>
    <t>USB флеш-диск SmartBuy 32Gb Crown White</t>
  </si>
  <si>
    <t>УТ000004600</t>
  </si>
  <si>
    <t>USB флеш-диск SmartBuy 32Gb Dock Blue</t>
  </si>
  <si>
    <t>УТ000004601</t>
  </si>
  <si>
    <t>USB флеш-диск SmartBuy 32Gb Dock Red</t>
  </si>
  <si>
    <t>00410054060</t>
  </si>
  <si>
    <t>USB флеш-диск SmartBuy 32Gb Glossy series Black</t>
  </si>
  <si>
    <t>00410054061</t>
  </si>
  <si>
    <t>USB флеш-диск SmartBuy 32Gb Glossy series Blue</t>
  </si>
  <si>
    <t>00410054062</t>
  </si>
  <si>
    <t>USB флеш-диск SmartBuy 32Gb Glossy series Green</t>
  </si>
  <si>
    <t>УТ000001640</t>
  </si>
  <si>
    <t>USB флеш-диск SmartBuy 32Gb Glossy series Orange</t>
  </si>
  <si>
    <t>УТ000010274</t>
  </si>
  <si>
    <t>USB флеш-диск SmartBuy 32Gb Lara Black</t>
  </si>
  <si>
    <t>УТ000010178</t>
  </si>
  <si>
    <t>USB флеш-диск SmartBuy 32Gb Lara Blue</t>
  </si>
  <si>
    <t>УТ000028414</t>
  </si>
  <si>
    <t>USB флеш-диск SmartBuy 32Gb Lara Red</t>
  </si>
  <si>
    <t>УТ000010177</t>
  </si>
  <si>
    <t>USB флеш-диск SmartBuy 32Gb Lara White</t>
  </si>
  <si>
    <t>УТ000056420</t>
  </si>
  <si>
    <t>USB флеш-диск SmartBuy 32Gb MC2 Metal Blue</t>
  </si>
  <si>
    <t>УТ000056421</t>
  </si>
  <si>
    <t>USB флеш-диск SmartBuy 32Gb MC5 Metal Kitty Pink</t>
  </si>
  <si>
    <t>УТ000016134</t>
  </si>
  <si>
    <t>USB флеш-диск SmartBuy 32Gb OTG POKO series Black</t>
  </si>
  <si>
    <t>УТ000007196</t>
  </si>
  <si>
    <t>USB флеш-диск SmartBuy 32Gb Paean White</t>
  </si>
  <si>
    <t>УТ000008757</t>
  </si>
  <si>
    <t>USB флеш-диск SmartBuy 32Gb Quartz series Black</t>
  </si>
  <si>
    <t>УТ000051476</t>
  </si>
  <si>
    <t>USB флеш-диск SmartBuy 32Gb Scout Black</t>
  </si>
  <si>
    <t>УТ000051477</t>
  </si>
  <si>
    <t>USB флеш-диск SmartBuy 32Gb Scout Blue</t>
  </si>
  <si>
    <t>УТ000051478</t>
  </si>
  <si>
    <t>USB флеш-диск SmartBuy 32Gb Scout Red</t>
  </si>
  <si>
    <t>УТ000029551</t>
  </si>
  <si>
    <t>USB флеш-диск SmartBuy 32Gb STREAM Blue</t>
  </si>
  <si>
    <t>УТ000029552</t>
  </si>
  <si>
    <t>USB флеш-диск SmartBuy 32Gb STREAM Yellow</t>
  </si>
  <si>
    <t>УТ000051480</t>
  </si>
  <si>
    <t>USB флеш-диск SmartBuy 32Gb Twist Black</t>
  </si>
  <si>
    <t>УТ000051481</t>
  </si>
  <si>
    <t>USB флеш-диск SmartBuy 32Gb Twist Blue</t>
  </si>
  <si>
    <t>УТ000051482</t>
  </si>
  <si>
    <t>USB флеш-диск SmartBuy 32Gb Twist Pink</t>
  </si>
  <si>
    <t>УТ000051483</t>
  </si>
  <si>
    <t>USB флеш-диск SmartBuy 32Gb Twist Yellow</t>
  </si>
  <si>
    <t>00410054065</t>
  </si>
  <si>
    <t>USB флеш-диск SmartBuy 32Gb V-Cut Black</t>
  </si>
  <si>
    <t>00410054066</t>
  </si>
  <si>
    <t>USB флеш-диск SmartBuy 32Gb V-Cut Blue</t>
  </si>
  <si>
    <t>00410054067</t>
  </si>
  <si>
    <t>USB флеш-диск SmartBuy 32Gb V-Cut Silver</t>
  </si>
  <si>
    <t>УТ000048848</t>
  </si>
  <si>
    <t>USB флеш-диск SmartBuy 4Gb Clue Black</t>
  </si>
  <si>
    <t>УТ000048847</t>
  </si>
  <si>
    <t>USB флеш-диск SmartBuy 4Gb Clue Blue</t>
  </si>
  <si>
    <t>УТ000049262</t>
  </si>
  <si>
    <t>USB флеш-диск SmartBuy 4Gb Clue Burgundy</t>
  </si>
  <si>
    <t>УТ000048008</t>
  </si>
  <si>
    <t>USB флеш-диск SmartBuy 4Gb Clue Red</t>
  </si>
  <si>
    <t>УТ000048005</t>
  </si>
  <si>
    <t>USB флеш-диск SmartBuy 4Gb Clue White</t>
  </si>
  <si>
    <t>УТ000048007</t>
  </si>
  <si>
    <t>USB флеш-диск SmartBuy 4Gb Clue Yellow</t>
  </si>
  <si>
    <t>00410054658</t>
  </si>
  <si>
    <t>USB флеш-диск SmartBuy 4Gb Crown белый</t>
  </si>
  <si>
    <t>00410054657</t>
  </si>
  <si>
    <t>USB флеш-диск SmartBuy 4Gb Crown чёрный</t>
  </si>
  <si>
    <t>УТ000031616</t>
  </si>
  <si>
    <t>USB флеш-диск SmartBuy 4Gb Diamond Pink</t>
  </si>
  <si>
    <t>00410054043</t>
  </si>
  <si>
    <t>USB флеш-диск SmartBuy 4Gb Glossy series Blue</t>
  </si>
  <si>
    <t>00410054044</t>
  </si>
  <si>
    <t>USB флеш-диск SmartBuy 4Gb Glossy series Green</t>
  </si>
  <si>
    <t>УТ000000516</t>
  </si>
  <si>
    <t>USB флеш-диск SmartBuy 4Gb Glossy series Orange</t>
  </si>
  <si>
    <t>УТ000057858</t>
  </si>
  <si>
    <t>USB флеш-диск SmartBuy 4Gb Lara Black</t>
  </si>
  <si>
    <t>УТ000057859</t>
  </si>
  <si>
    <t>USB флеш-диск SmartBuy 4Gb Lara Blue</t>
  </si>
  <si>
    <t>УТ000057860</t>
  </si>
  <si>
    <t>USB флеш-диск SmartBuy 4Gb Lara Red</t>
  </si>
  <si>
    <t>УТ000058508</t>
  </si>
  <si>
    <t>USB флеш-диск SmartBuy 4Gb Lara White</t>
  </si>
  <si>
    <t>УТ000008017</t>
  </si>
  <si>
    <t>USB флеш-диск SmartBuy 4Gb Quartz series Violet</t>
  </si>
  <si>
    <t>УТ000052615</t>
  </si>
  <si>
    <t>USB флеш-диск SmartBuy 4Gb Scout Black</t>
  </si>
  <si>
    <t>УТ000052616</t>
  </si>
  <si>
    <t>USB флеш-диск SmartBuy 4Gb Scout Blue</t>
  </si>
  <si>
    <t>УТ000052617</t>
  </si>
  <si>
    <t>USB флеш-диск SmartBuy 4Gb Scout Red</t>
  </si>
  <si>
    <t>УТ000053121</t>
  </si>
  <si>
    <t>USB флеш-диск SmartBuy 4Gb Scout White</t>
  </si>
  <si>
    <t>УТ000055802</t>
  </si>
  <si>
    <t>USB флеш-диск SmartBuy 4Gb Twist Black</t>
  </si>
  <si>
    <t>УТ000055801</t>
  </si>
  <si>
    <t>USB флеш-диск SmartBuy 4Gb Twist Blue</t>
  </si>
  <si>
    <t>УТ000055800</t>
  </si>
  <si>
    <t>USB флеш-диск SmartBuy 4Gb Twist Yellow</t>
  </si>
  <si>
    <t>00410052659</t>
  </si>
  <si>
    <t>USB флеш-диск SmartBuy 4Gb V-Cut Black</t>
  </si>
  <si>
    <t>00410052660</t>
  </si>
  <si>
    <t>USB флеш-диск SmartBuy 4Gb V-Cut Blue</t>
  </si>
  <si>
    <t>00410055397</t>
  </si>
  <si>
    <t>USB флеш-диск SmartBuy 4Gb V-Cut Silver</t>
  </si>
  <si>
    <t>УТ000059267</t>
  </si>
  <si>
    <t>USB флеш-диск SmartBuy 512Gb 3.0 Scout Black</t>
  </si>
  <si>
    <t>УТ000059268</t>
  </si>
  <si>
    <t>USB флеш-диск SmartBuy 512Gb 3.0 Scout White</t>
  </si>
  <si>
    <t>УТ000059270</t>
  </si>
  <si>
    <t>USB флеш-диск SmartBuy 512Gb 3.0 Twist Dual Type-C/type-A</t>
  </si>
  <si>
    <t>УТ000033047</t>
  </si>
  <si>
    <t>USB флеш-диск SmartBuy 64Gb 3.0  IRON White/Red</t>
  </si>
  <si>
    <t>00410058106</t>
  </si>
  <si>
    <t>USB флеш-диск SmartBuy 64Gb 3.0 Crown Blue</t>
  </si>
  <si>
    <t>УТ000008764</t>
  </si>
  <si>
    <t>USB флеш-диск SmartBuy 64Gb 3.0 Glossy series Dark Blue</t>
  </si>
  <si>
    <t>УТ000012394</t>
  </si>
  <si>
    <t>USB флеш-диск SmartBuy 64Gb 3.0 V-Cut Black</t>
  </si>
  <si>
    <t>УТ000027765</t>
  </si>
  <si>
    <t>USB флеш-диск SmartBuy 64Gb 3.0 V-Cut Blue</t>
  </si>
  <si>
    <t>УТ000012395</t>
  </si>
  <si>
    <t>USB флеш-диск SmartBuy 64Gb 3.0 V-Cut Silver</t>
  </si>
  <si>
    <t>УТ000008765</t>
  </si>
  <si>
    <t>USB флеш-диск SmartBuy 64Gb 3.0/3.1 Glossy series Dark Grey</t>
  </si>
  <si>
    <t>УТ000059031</t>
  </si>
  <si>
    <t>USB флеш-диск SmartBuy 64Gb 3.0/3.1 Scout White</t>
  </si>
  <si>
    <t>УТ000035820</t>
  </si>
  <si>
    <t>USB флеш-диск SmartBuy 64Gb 3.0/3.1 Stream Red</t>
  </si>
  <si>
    <t>УТ000033644</t>
  </si>
  <si>
    <t>USB флеш-диск SmartBuy 64Gb ART Black</t>
  </si>
  <si>
    <t>00410056003</t>
  </si>
  <si>
    <t>USB флеш-диск SmartBuy 64Gb Click Black</t>
  </si>
  <si>
    <t>УТ000049926</t>
  </si>
  <si>
    <t>USB флеш-диск SmartBuy 64Gb Clue Black</t>
  </si>
  <si>
    <t>УТ000049927</t>
  </si>
  <si>
    <t>USB флеш-диск SmartBuy 64Gb Clue Blue</t>
  </si>
  <si>
    <t>УТ000048017</t>
  </si>
  <si>
    <t>USB флеш-диск SmartBuy 64Gb Clue Red</t>
  </si>
  <si>
    <t>УТ000049929</t>
  </si>
  <si>
    <t>USB флеш-диск SmartBuy 64Gb Clue White</t>
  </si>
  <si>
    <t>УТ000048016</t>
  </si>
  <si>
    <t>USB флеш-диск SmartBuy 64Gb Clue Yellow</t>
  </si>
  <si>
    <t>00410056005</t>
  </si>
  <si>
    <t>USB флеш-диск SmartBuy 64Gb Crown Black</t>
  </si>
  <si>
    <t>00410058365</t>
  </si>
  <si>
    <t>USB флеш-диск SmartBuy 64Gb Glossy series Blue</t>
  </si>
  <si>
    <t>УТ000026981</t>
  </si>
  <si>
    <t>USB флеш-диск SmartBuy 64Gb LARA Black</t>
  </si>
  <si>
    <t>УТ000027764</t>
  </si>
  <si>
    <t>USB флеш-диск SmartBuy 64Gb LARA Blue</t>
  </si>
  <si>
    <t>УТ000042422</t>
  </si>
  <si>
    <t>USB флеш-диск SmartBuy 64Gb LARA Red</t>
  </si>
  <si>
    <t>УТ000027763</t>
  </si>
  <si>
    <t>USB флеш-диск SmartBuy 64Gb LARA White</t>
  </si>
  <si>
    <t>УТ000055000</t>
  </si>
  <si>
    <t>USB флеш-диск SmartBuy 64Gb M3 Metal</t>
  </si>
  <si>
    <t>УТ000056424</t>
  </si>
  <si>
    <t>USB флеш-диск SmartBuy 64Gb MC2 Metal Blue</t>
  </si>
  <si>
    <t>УТ000056425</t>
  </si>
  <si>
    <t>USB флеш-диск SmartBuy 64Gb MC5 Metal Kitty Pink</t>
  </si>
  <si>
    <t>УТ000056426</t>
  </si>
  <si>
    <t>USB флеш-диск SmartBuy 64Gb MC8 Metal Red</t>
  </si>
  <si>
    <t>УТ000054306</t>
  </si>
  <si>
    <t>USB флеш-диск SmartBuy 64Gb Scout Black</t>
  </si>
  <si>
    <t>УТ000054307</t>
  </si>
  <si>
    <t>USB флеш-диск SmartBuy 64Gb Scout Blue</t>
  </si>
  <si>
    <t>УТ000052625</t>
  </si>
  <si>
    <t>USB флеш-диск SmartBuy 64Gb Scout Red</t>
  </si>
  <si>
    <t>УТ000054308</t>
  </si>
  <si>
    <t>USB флеш-диск SmartBuy 64Gb Scout White</t>
  </si>
  <si>
    <t>УТ000038547</t>
  </si>
  <si>
    <t>USB флеш-диск SmartBuy 64Gb Stream Yellow</t>
  </si>
  <si>
    <t>УТ000052626</t>
  </si>
  <si>
    <t>USB флеш-диск SmartBuy 64Gb Twist Black</t>
  </si>
  <si>
    <t>УТ000052627</t>
  </si>
  <si>
    <t>USB флеш-диск SmartBuy 64Gb Twist Blue</t>
  </si>
  <si>
    <t>УТ000054994</t>
  </si>
  <si>
    <t>USB флеш-диск SmartBuy 64Gb Twist Yellow</t>
  </si>
  <si>
    <t>00410055584</t>
  </si>
  <si>
    <t>USB флеш-диск SmartBuy 64Gb V-Cut Black</t>
  </si>
  <si>
    <t>00410055585</t>
  </si>
  <si>
    <t>USB флеш-диск SmartBuy 64Gb V-Cut Silver</t>
  </si>
  <si>
    <t>УТ000035817</t>
  </si>
  <si>
    <t>USB флеш-диск SmartBuy 8Gb ART Black</t>
  </si>
  <si>
    <t>УТ000048013</t>
  </si>
  <si>
    <t>USB флеш-диск SmartBuy 8Gb Clue Black</t>
  </si>
  <si>
    <t>УТ000049077</t>
  </si>
  <si>
    <t>USB флеш-диск SmartBuy 8Gb Clue Blue</t>
  </si>
  <si>
    <t>УТ000049079</t>
  </si>
  <si>
    <t>USB флеш-диск SmartBuy 8Gb Clue Burgundy</t>
  </si>
  <si>
    <t>УТ000048012</t>
  </si>
  <si>
    <t>USB флеш-диск SmartBuy 8Gb Clue Red</t>
  </si>
  <si>
    <t>УТ000048009</t>
  </si>
  <si>
    <t>USB флеш-диск SmartBuy 8Gb Clue White</t>
  </si>
  <si>
    <t>УТ000048011</t>
  </si>
  <si>
    <t>USB флеш-диск SmartBuy 8Gb Clue Yellow</t>
  </si>
  <si>
    <t>00410054645</t>
  </si>
  <si>
    <t>USB флеш-диск SmartBuy 8Gb Crown Black</t>
  </si>
  <si>
    <t>00410054639</t>
  </si>
  <si>
    <t>USB флеш-диск SmartBuy 8Gb Crown White</t>
  </si>
  <si>
    <t>УТ000002381</t>
  </si>
  <si>
    <t>USB флеш-диск SmartBuy 8Gb Dock Blue</t>
  </si>
  <si>
    <t>УТ000002382</t>
  </si>
  <si>
    <t>USB флеш-диск SmartBuy 8Gb Dock Red</t>
  </si>
  <si>
    <t>00410054048</t>
  </si>
  <si>
    <t>USB флеш-диск SmartBuy 8Gb Glossy series Black</t>
  </si>
  <si>
    <t>00410054049</t>
  </si>
  <si>
    <t>USB флеш-диск SmartBuy 8Gb Glossy series Blue</t>
  </si>
  <si>
    <t>00410054050</t>
  </si>
  <si>
    <t>USB флеш-диск SmartBuy 8Gb Glossy series Green</t>
  </si>
  <si>
    <t>УТ000000524</t>
  </si>
  <si>
    <t>USB флеш-диск SmartBuy 8Gb Glossy series Orange</t>
  </si>
  <si>
    <t>УТ000008766</t>
  </si>
  <si>
    <t>USB флеш-диск SmartBuy 8Gb LARA Black</t>
  </si>
  <si>
    <t>УТ000008768</t>
  </si>
  <si>
    <t>USB флеш-диск SmartBuy 8Gb LARA Blue</t>
  </si>
  <si>
    <t>УТ000006360</t>
  </si>
  <si>
    <t>USB флеш-диск SmartBuy 8Gb Paean White</t>
  </si>
  <si>
    <t>УТ000004599</t>
  </si>
  <si>
    <t>USB флеш-диск SmartBuy 8Gb Quartz series Black</t>
  </si>
  <si>
    <t>УТ000008464</t>
  </si>
  <si>
    <t>USB флеш-диск SmartBuy 8Gb Quartz series Violet</t>
  </si>
  <si>
    <t>УТ000052619</t>
  </si>
  <si>
    <t>USB флеш-диск SmartBuy 8Gb Scout Black</t>
  </si>
  <si>
    <t>УТ000052620</t>
  </si>
  <si>
    <t>USB флеш-диск SmartBuy 8Gb Scout Blue</t>
  </si>
  <si>
    <t>УТ000052621</t>
  </si>
  <si>
    <t>USB флеш-диск SmartBuy 8Gb Scout Red</t>
  </si>
  <si>
    <t>УТ000053122</t>
  </si>
  <si>
    <t>USB флеш-диск SmartBuy 8Gb Scout White</t>
  </si>
  <si>
    <t>УТ000029541</t>
  </si>
  <si>
    <t>USB флеш-диск SmartBuy 8Gb STREAM Blue</t>
  </si>
  <si>
    <t>УТ000051522</t>
  </si>
  <si>
    <t>USB флеш-диск SmartBuy 8Gb Twist Blue</t>
  </si>
  <si>
    <t>УТ000051517</t>
  </si>
  <si>
    <t>USB флеш-диск SmartBuy 8Gb Twist Pink</t>
  </si>
  <si>
    <t>УТ000051521</t>
  </si>
  <si>
    <t>USB флеш-диск SmartBuy 8Gb Twist Yellow</t>
  </si>
  <si>
    <t>00410052661</t>
  </si>
  <si>
    <t>USB флеш-диск SmartBuy 8Gb V-Cut Black</t>
  </si>
  <si>
    <t>00410052662</t>
  </si>
  <si>
    <t>USB флеш-диск SmartBuy 8Gb V-Cut Blue</t>
  </si>
  <si>
    <t xml:space="preserve"> Карты памяти  MicroSD (TransFlash)</t>
  </si>
  <si>
    <t>УТ000025412</t>
  </si>
  <si>
    <t>Карта памяти micro SDXC SmartBuy 64Gb Class10 UHS-1</t>
  </si>
  <si>
    <t>УТ000001635</t>
  </si>
  <si>
    <t>Карта памяти micro SDXC SmartBuy 64Gb Class10 UHS-1 (с адаптером SD)</t>
  </si>
  <si>
    <t>00410049829</t>
  </si>
  <si>
    <t>Карта памяти microSD SmartBuy 2Gb</t>
  </si>
  <si>
    <t>00410053804</t>
  </si>
  <si>
    <t>Карта памяти microSD SmartBuy 2Gb (адаптер SD)</t>
  </si>
  <si>
    <t>УТ000056545</t>
  </si>
  <si>
    <t>Карта памяти microSDHC Kingston 128Gb Class 10 Canvas Select Plus A1 (100 Mb/s)</t>
  </si>
  <si>
    <t>УТ000056540</t>
  </si>
  <si>
    <t>Карта памяти microSDHC Kingston 32Gb Class 10 (адаптер SD) Canvas Select Plus A1 (100 Mb/s)</t>
  </si>
  <si>
    <t>УТ000050878</t>
  </si>
  <si>
    <t>Карта памяти microSDHC Netac 128Gb Class10 90Mb/s (адаптер SD)</t>
  </si>
  <si>
    <t>УТ000050879</t>
  </si>
  <si>
    <t>Карта памяти microSDHC Netac 128Gb Class10 Extreme Pro 100Mb/s (адаптер SD)</t>
  </si>
  <si>
    <t>УТ000057802</t>
  </si>
  <si>
    <t>Карта памяти microSDHC Netac 128Gb Class10 P500 Eco  (адаптер SD)</t>
  </si>
  <si>
    <t>УТ000057803</t>
  </si>
  <si>
    <t>Карта памяти microSDHC Netac 128Gb Class10 P500 Eco  (без адаптера)</t>
  </si>
  <si>
    <t>УТ000057776</t>
  </si>
  <si>
    <t>Карта памяти microSDHC Netac 16Gb Class10 Extreme Pro ,100Mb/s (адаптер SD)</t>
  </si>
  <si>
    <t>УТ000057777</t>
  </si>
  <si>
    <t>Карта памяти microSDHC Netac 16Gb Class10 Extreme Pro ,100Mb/s без адаптера</t>
  </si>
  <si>
    <t>УТ000043318</t>
  </si>
  <si>
    <t>Карта памяти microSDHC SanDisk 32Gb Class10 Ultra Light UHS-I 100MB/s</t>
  </si>
  <si>
    <t>00410054228</t>
  </si>
  <si>
    <t>Карта памяти microSDHC Silicon Power 32Gb Class10 (адаптер SD) Elit UHS-I (R/W 85/15 Mb/s)</t>
  </si>
  <si>
    <t>00410052364</t>
  </si>
  <si>
    <t>Карта памяти microSDHC SmartBuy 16Gb Class10 UHS-I</t>
  </si>
  <si>
    <t>00410053807</t>
  </si>
  <si>
    <t>Карта памяти microSDHC SmartBuy 16Gb Class10 UHS-I (адаптер SD)</t>
  </si>
  <si>
    <t>00410054070</t>
  </si>
  <si>
    <t>Карта памяти microSDHC SmartBuy 32Gb Class10 UHS-I</t>
  </si>
  <si>
    <t>00410054071</t>
  </si>
  <si>
    <t>Карта памяти microSDHC SmartBuy 32Gb Class10 UHS-I (адаптер SD)</t>
  </si>
  <si>
    <t>00410054068</t>
  </si>
  <si>
    <t>Карта памяти microSDHC SmartBuy 4Gb Class10</t>
  </si>
  <si>
    <t>00410054069</t>
  </si>
  <si>
    <t>Карта памяти microSDHC SmartBuy 4Gb Class10 (адаптер SD)</t>
  </si>
  <si>
    <t>00410053461</t>
  </si>
  <si>
    <t>Карта памяти microSDHC SmartBuy 8Gb Class10</t>
  </si>
  <si>
    <t>00410052050</t>
  </si>
  <si>
    <t>Карта памяти microSDHC SmartBuy 8Gb Class10 (адаптер SD)</t>
  </si>
  <si>
    <t>УТ000056547</t>
  </si>
  <si>
    <t>Карта памяти microSDXC Samsung Evo Plus 512Gb Class10 U1 UHS-I R/W 130 Mb/s (адаптер SD)</t>
  </si>
  <si>
    <t>УТ000028744</t>
  </si>
  <si>
    <t>Карта памяти microSDXC SanDisk 128Gb Class10 Ultra Android UHC-I100MB/s</t>
  </si>
  <si>
    <t>УТ000043320</t>
  </si>
  <si>
    <t>Карта памяти microSDXC SanDisk 64Gb Class10 Ultra Light UHS-I 100 Mb/s</t>
  </si>
  <si>
    <t>УТ000034170</t>
  </si>
  <si>
    <t>Карта памяти microSDXC SmartBuy 128Gb Class10 (адаптер SD)</t>
  </si>
  <si>
    <t>УТ000057197</t>
  </si>
  <si>
    <t>Карта памяти microSDXC SmartBuy 128Gb Class10 CI10 U3  SB128GBSDU3-01 (с адаптером SD)</t>
  </si>
  <si>
    <t>УТ000025784</t>
  </si>
  <si>
    <t>Карта памяти microSDXC SmartBuy 128Gb Class10 UHS-1</t>
  </si>
  <si>
    <t>УТ000025783</t>
  </si>
  <si>
    <t>Карта памяти microSDXC SmartBuy 128Gb Class10 UHS-1 (с адаптером SD)</t>
  </si>
  <si>
    <t>УТ000051394</t>
  </si>
  <si>
    <t>Карта памяти microSDXC SmartBuy 128Gb Class10 UHS-1 U3 V30 A1 (с адаптером SD)</t>
  </si>
  <si>
    <t>УТ000035093</t>
  </si>
  <si>
    <t>Карта памяти microSDXC SmartBuy 256Gb Class10 UHS-I</t>
  </si>
  <si>
    <t>УТ000035096</t>
  </si>
  <si>
    <t>Карта памяти microSDXC SmartBuy 256Gb Class10 UHS-I (адаптером SD)</t>
  </si>
  <si>
    <t>УТ000024789</t>
  </si>
  <si>
    <t>Карта памяти microSDXC Transcend 128Gb Class10 UHS-I (адаптер SD)</t>
  </si>
  <si>
    <t>УТ000031110</t>
  </si>
  <si>
    <t>Карта памяти microSDXC Transcend 64Gb 300s UHS-I U1 (адаптер SD)</t>
  </si>
  <si>
    <t>УТ000049280</t>
  </si>
  <si>
    <t>Карта памяти microSDXC Transcend 64Gb 300s UHS-I U1 без адаптера</t>
  </si>
  <si>
    <t xml:space="preserve"> Носители на компакт дисках</t>
  </si>
  <si>
    <t>00000002086</t>
  </si>
  <si>
    <t>Диск CD-R SmartBuy Fresh-Watermelon 700Mb 52x CB-10</t>
  </si>
  <si>
    <t>УТ000053970</t>
  </si>
  <si>
    <t>Диск CD-RW VS 700Mb 4-12x CB-10</t>
  </si>
  <si>
    <t>УТ000053969</t>
  </si>
  <si>
    <t>Диск CD-RW VS 700Mb 4-12x SL-5</t>
  </si>
  <si>
    <t>00000000691</t>
  </si>
  <si>
    <t>Диск DVD+RW SmartTrack 4,7Gb 4x CB-10</t>
  </si>
  <si>
    <t>00000002234</t>
  </si>
  <si>
    <t>Диск DVD+RW VS 4,7Gb 4x SL-5</t>
  </si>
  <si>
    <t>00000001318</t>
  </si>
  <si>
    <t>Диск DVD-R mini SmartTrack Double Side 2,8 Gb 2x CB-50</t>
  </si>
  <si>
    <t xml:space="preserve"> Упаковка</t>
  </si>
  <si>
    <t>УТ000015659</t>
  </si>
  <si>
    <t>Конверт для CD/DVD дисков двухсторонний (упак.100)</t>
  </si>
  <si>
    <t>00000002686</t>
  </si>
  <si>
    <t>Футляр для 10 CD Case (прозрачный)</t>
  </si>
  <si>
    <t>00000001242</t>
  </si>
  <si>
    <t>Футляр для 1CD Jewel (прозрачный)</t>
  </si>
  <si>
    <t>00000001263</t>
  </si>
  <si>
    <t>Футляр для 1CD Jewel (черный)</t>
  </si>
  <si>
    <t>00000002121</t>
  </si>
  <si>
    <t>Футляр для 1CD Kick-Out (прозрачный)</t>
  </si>
  <si>
    <t>00000001002</t>
  </si>
  <si>
    <t>Футляр для 2CD Jewel (черный)</t>
  </si>
  <si>
    <t>УТ000007926</t>
  </si>
  <si>
    <t>Футляр для 2DVD 14мм  (глянцевый) высокий холдер</t>
  </si>
  <si>
    <t>00410058488</t>
  </si>
  <si>
    <t>Футляр для 2DVD 9мм черный (глянец)</t>
  </si>
  <si>
    <t>00410055753</t>
  </si>
  <si>
    <t>Футляр для 5DVD B glossy</t>
  </si>
  <si>
    <t>00410058103</t>
  </si>
  <si>
    <t>Футляр для BLU RAY 1 BLUE 11мм (глянцевый) с логотипом</t>
  </si>
  <si>
    <t xml:space="preserve"> Освещение</t>
  </si>
  <si>
    <t xml:space="preserve"> Лампы</t>
  </si>
  <si>
    <t xml:space="preserve"> Лампы галогенные</t>
  </si>
  <si>
    <t>00401051166</t>
  </si>
  <si>
    <t>Лампа галогенная капсульная G4 12В 10Вт JC Camelion</t>
  </si>
  <si>
    <t>00400051102</t>
  </si>
  <si>
    <t>Лампа галогенная капсульная G4 12В 20Вт JC Camelion</t>
  </si>
  <si>
    <t>УТ000055601</t>
  </si>
  <si>
    <t>Лампа галогенная капсульная G4 12В 20Вт JC Feron</t>
  </si>
  <si>
    <t>УТ000058862</t>
  </si>
  <si>
    <t>Лампа галогенная капсульная G4 12В 20Вт JC Эра</t>
  </si>
  <si>
    <t>00401051167</t>
  </si>
  <si>
    <t>Лампа галогенная капсульная G4 12В 35Вт JC Camelion</t>
  </si>
  <si>
    <t>УТ000056943</t>
  </si>
  <si>
    <t>Лампа галогенная капсульная G4 12В 35Вт JC Feron</t>
  </si>
  <si>
    <t>00410053066</t>
  </si>
  <si>
    <t>Лампа галогенная капсульная G4 230В 20Вт JD Camelion</t>
  </si>
  <si>
    <t>00410053067</t>
  </si>
  <si>
    <t>Лампа галогенная капсульная G4 230В 35Вт JD Camelion</t>
  </si>
  <si>
    <t>00401051168</t>
  </si>
  <si>
    <t>Лампа галогенная капсульная G6.35 230В 35Вт JD Camelion</t>
  </si>
  <si>
    <t>00401051169</t>
  </si>
  <si>
    <t>Лампа галогенная капсульная G6.35 230В 50Вт JD Camelion</t>
  </si>
  <si>
    <t>УТ000000814</t>
  </si>
  <si>
    <t>Лампа галогенная капсульная G9 25Вт 220В CL прозрачная Camelion</t>
  </si>
  <si>
    <t>УТ000005031</t>
  </si>
  <si>
    <t>Лампа галогенная капсульная G9 40Вт 220В CL прозрачная Camelion</t>
  </si>
  <si>
    <t>УТ000059045</t>
  </si>
  <si>
    <t>Лампа галогенная капсульная G9 40Вт 220В FR матовая ЭРА</t>
  </si>
  <si>
    <t>УТ000056101</t>
  </si>
  <si>
    <t>Лампа галогенная капсульная G9 60Вт 220В CL прозрачная Feron</t>
  </si>
  <si>
    <t>УТ000059046</t>
  </si>
  <si>
    <t>Лампа галогенная капсульная G9 60Вт 220В FR матовая ЭРА</t>
  </si>
  <si>
    <t>УТ000058903</t>
  </si>
  <si>
    <t>Лампа галогенная линейная R7s L= 117мм 150Вт 220В J78  Navigator</t>
  </si>
  <si>
    <t>00401051197</t>
  </si>
  <si>
    <t>Лампа галогенная линейная R7s L= 78мм 100Вт 220В J78  Camelion</t>
  </si>
  <si>
    <t>УТ000056103</t>
  </si>
  <si>
    <t>Лампа галогенная линейная R7s L= 78мм 100Вт 220В J78  Navigator</t>
  </si>
  <si>
    <t>00400051101</t>
  </si>
  <si>
    <t>Лампа галогенная линейная R7s L= 78мм 150Вт 220В J78  Camelion</t>
  </si>
  <si>
    <t>УТ000056104</t>
  </si>
  <si>
    <t>Лампа галогенная линейная R7s L= 78мм 150Вт 220В J78  Navigator</t>
  </si>
  <si>
    <t>00401051188</t>
  </si>
  <si>
    <t>Лампа галогенная линейная R7s L=118мм 300Вт 220В J118  Camelion</t>
  </si>
  <si>
    <t>00401051190</t>
  </si>
  <si>
    <t>Лампа галогенная линейная R7s L=118мм 500Вт 220В J118  Camelion</t>
  </si>
  <si>
    <t>00000004898</t>
  </si>
  <si>
    <t>Лампа галогенная с отражателем GU5.3 JCDR 20Вт 220В 50мм с защ. стеклом Camelion</t>
  </si>
  <si>
    <t>00000004865</t>
  </si>
  <si>
    <t>Лампа галогенная с отражателем GU5.3 JCDR 35Вт 220В 50мм с защ. стеклом Camelion</t>
  </si>
  <si>
    <t>УТ000056671</t>
  </si>
  <si>
    <t>Лампа галогенная с отражателем GU5.3 JCDR 35Вт 220В 50мм с защ. стеклом FERON</t>
  </si>
  <si>
    <t>00401051489</t>
  </si>
  <si>
    <t>Лампа галогенная с отражателем GU5.3 JCDR 35Вт 220В 50мм с защ. стеклом TDM</t>
  </si>
  <si>
    <t>00401051490</t>
  </si>
  <si>
    <t>Лампа галогенная с отражателем GU5.3 JCDR 50Вт 220В 50мм с защ. стеклом TDM</t>
  </si>
  <si>
    <t>УТ000058243</t>
  </si>
  <si>
    <t>Лампа галогенная с отражателем GU5.3 JCDR 50Вт 220В 51мм с защ. стеклом Navigator</t>
  </si>
  <si>
    <t xml:space="preserve"> Лампы люминицентные</t>
  </si>
  <si>
    <t>00401051504</t>
  </si>
  <si>
    <t>Лампа люминеcцентная FT8, 10Вт, 6500К, G13, Camelion</t>
  </si>
  <si>
    <t>00401051505</t>
  </si>
  <si>
    <t>Лампа люминеcцентная FT8, 15Вт, 6500К, G13, Camelion</t>
  </si>
  <si>
    <t>УТ000029260</t>
  </si>
  <si>
    <t>Лампа люминеcцентная FT8, 18Вт, 6500К, G13, OSRAM</t>
  </si>
  <si>
    <t>00401051506</t>
  </si>
  <si>
    <t>Лампа люминеcцентная FT8, 30Вт, 6500К, G13, Camelion</t>
  </si>
  <si>
    <t>УТ000002797</t>
  </si>
  <si>
    <t>Лампа люминеcцентная FT8, 36Вт, 6500К, G13, OSRAM</t>
  </si>
  <si>
    <t>00401051495</t>
  </si>
  <si>
    <t>Лампа люминиcцентная FT4,  6Вт, 6500K, G5, Camelion</t>
  </si>
  <si>
    <t>УТ000052508</t>
  </si>
  <si>
    <t>Лампа люминиcцентная FT4, 12Вт, 6500K, G5, Camelion</t>
  </si>
  <si>
    <t>УТ000052161</t>
  </si>
  <si>
    <t>Лампа люминиcцентная FT4, 16Вт, 6500K, G5, Camelion</t>
  </si>
  <si>
    <t>УТ000052509</t>
  </si>
  <si>
    <t>Лампа люминиcцентная FT5,  6Вт, 6500K, Camelion</t>
  </si>
  <si>
    <t>00401051502</t>
  </si>
  <si>
    <t>Лампа люминиcцентная FT5,  8Вт, Camelion</t>
  </si>
  <si>
    <t>00401051503</t>
  </si>
  <si>
    <t>Лампа люминиcцентная FT5, 13Вт, 6500K, Camelion</t>
  </si>
  <si>
    <t>УТ000010170</t>
  </si>
  <si>
    <t>Стартер 4-22W 110-240В(18Вт) ASD S2</t>
  </si>
  <si>
    <t>УТ000001410</t>
  </si>
  <si>
    <t>Стартер 4-65W 220-240В(36Вт,58Вт) ASD S10</t>
  </si>
  <si>
    <t xml:space="preserve"> Лампы накаливания</t>
  </si>
  <si>
    <t>00410057708</t>
  </si>
  <si>
    <t>Лампа накаливания E14 свеча прозрачная 40Вт</t>
  </si>
  <si>
    <t>00410057709</t>
  </si>
  <si>
    <t>Лампа накаливания E14 свеча прозрачная 60Вт</t>
  </si>
  <si>
    <t>УТ000056105</t>
  </si>
  <si>
    <t>Лампа накаливания зеркальная R50/40Вт/E14 Navigator</t>
  </si>
  <si>
    <t>УТ000005544</t>
  </si>
  <si>
    <t>Лампа накаливания зеркальная R50/40Вт/E14 TDM</t>
  </si>
  <si>
    <t>УТ000056106</t>
  </si>
  <si>
    <t>Лампа накаливания зеркальная R50/60Вт/E14 Navigator</t>
  </si>
  <si>
    <t>УТ000001134</t>
  </si>
  <si>
    <t>Лампа накаливания зеркальная R50/60Вт/E14 TDM</t>
  </si>
  <si>
    <t>00410049779</t>
  </si>
  <si>
    <t>Лампа накаливания зеркальная R63/40Вт/E27 Camelion</t>
  </si>
  <si>
    <t>00410049951</t>
  </si>
  <si>
    <t>Лампа накаливания ЛОН Е27 25вт</t>
  </si>
  <si>
    <t>00410049952</t>
  </si>
  <si>
    <t>Лампа накаливания ЛОН Е27 40вт</t>
  </si>
  <si>
    <t>00410049953</t>
  </si>
  <si>
    <t>Лампа накаливания ЛОН Е27 60вт</t>
  </si>
  <si>
    <t>00410051265</t>
  </si>
  <si>
    <t>Лампа накаливания ЛОН Е27 75вт</t>
  </si>
  <si>
    <t>00410053780</t>
  </si>
  <si>
    <t>Лампа накаливания ЛОН Е27 95вт</t>
  </si>
  <si>
    <t>00401051235</t>
  </si>
  <si>
    <t>Лампа свеча прозрачная Camelion 40/B/CL/E27</t>
  </si>
  <si>
    <t>00401051243</t>
  </si>
  <si>
    <t>Лампа свеча прозрачная Camelion 60/B/CL/E27</t>
  </si>
  <si>
    <t>00410055570</t>
  </si>
  <si>
    <t>Термоизлучатель Т 150вт Е27</t>
  </si>
  <si>
    <t>00410055571</t>
  </si>
  <si>
    <t>Термоизлучатель Т 200вт Е27</t>
  </si>
  <si>
    <t>00410055572</t>
  </si>
  <si>
    <t>Термоизлучатель Т 300вт Е27</t>
  </si>
  <si>
    <t xml:space="preserve"> Лампы светодиодные</t>
  </si>
  <si>
    <t xml:space="preserve"> Светодиодные лампы с цоколем E14</t>
  </si>
  <si>
    <t>УТ000052235</t>
  </si>
  <si>
    <t>Лампа светодиодная зеркальная E14 R39 5Вт 2700K 220В Feron</t>
  </si>
  <si>
    <t>00000004904</t>
  </si>
  <si>
    <t>Лампа светодиодная зеркальная E14 R39 5Вт 4000K 220В Feron</t>
  </si>
  <si>
    <t>УТ000027561</t>
  </si>
  <si>
    <t>Лампа светодиодная зеркальная E14 R39 5Вт 4500K 220В General</t>
  </si>
  <si>
    <t>00000004905</t>
  </si>
  <si>
    <t>Лампа светодиодная зеркальная E14 R39 5Вт 6400K 220В Feron</t>
  </si>
  <si>
    <t>УТ000017851</t>
  </si>
  <si>
    <t>Лампа светодиодная зеркальная E14 R50 7Вт 2700K 220В Feron</t>
  </si>
  <si>
    <t>УТ000004262</t>
  </si>
  <si>
    <t>Лампа светодиодная зеркальная E14 R50 7Вт 4000K 220В Feron</t>
  </si>
  <si>
    <t>УТ000052203</t>
  </si>
  <si>
    <t>Лампа светодиодная зеркальная E14 R50 7Вт 6400K 220В Feron</t>
  </si>
  <si>
    <t>УТ000009044</t>
  </si>
  <si>
    <t>Лампа светодиодная свеча E14  7Вт 2700K 220В Feron</t>
  </si>
  <si>
    <t>УТ000029566</t>
  </si>
  <si>
    <t>Лампа светодиодная свеча E14  7Вт 2700K 220В General</t>
  </si>
  <si>
    <t>УТ000006263</t>
  </si>
  <si>
    <t>Лампа светодиодная свеча E14  7Вт 3000K 220В Smartbuy</t>
  </si>
  <si>
    <t>УТ000011352</t>
  </si>
  <si>
    <t>Лампа светодиодная свеча E14  7Вт 4000K 220В Feron</t>
  </si>
  <si>
    <t>УТ000034923</t>
  </si>
  <si>
    <t>Лампа светодиодная свеча E14  7Вт 6400K 220В Feron</t>
  </si>
  <si>
    <t>УТ000051934</t>
  </si>
  <si>
    <t>Лампа светодиодная свеча E14  7Вт 6500K 220В General</t>
  </si>
  <si>
    <t>УТ000024511</t>
  </si>
  <si>
    <t>Лампа светодиодная свеча E14  9,5Вт 3000K 220В Smartbuy</t>
  </si>
  <si>
    <t>УТ000058248</t>
  </si>
  <si>
    <t>Лампа светодиодная свеча E14  9Вт 2700K 220В Feron</t>
  </si>
  <si>
    <t>УТ000058250</t>
  </si>
  <si>
    <t>Лампа светодиодная свеча E14  9Вт 4000K 220В Feron</t>
  </si>
  <si>
    <t>УТ000058249</t>
  </si>
  <si>
    <t>Лампа светодиодная свеча E14  9Вт 6400K 220В Feron</t>
  </si>
  <si>
    <t>УТ000040021</t>
  </si>
  <si>
    <t>Лампа светодиодная свеча E14 10Вт 2700K 220В General</t>
  </si>
  <si>
    <t>УТ000046283</t>
  </si>
  <si>
    <t>Лампа светодиодная свеча E14 10Вт 6500K 220В General</t>
  </si>
  <si>
    <t>УТ000057845</t>
  </si>
  <si>
    <t>Лампа светодиодная свеча E14 11Вт 4000K 220В Feron</t>
  </si>
  <si>
    <t>УТ000056108</t>
  </si>
  <si>
    <t>Лампа светодиодная свеча E14 11Вт 6400K 220В Feron</t>
  </si>
  <si>
    <t>УТ000056110</t>
  </si>
  <si>
    <t>Лампа светодиодная свеча E14 13Вт 2700K 220В Feron</t>
  </si>
  <si>
    <t>УТ000056111</t>
  </si>
  <si>
    <t>Лампа светодиодная свеча E14 13Вт 4000K 220В Feron</t>
  </si>
  <si>
    <t>УТ000056109</t>
  </si>
  <si>
    <t>Лампа светодиодная свеча E14 13Вт 6400K 220В Feron</t>
  </si>
  <si>
    <t>УТ000057382</t>
  </si>
  <si>
    <t>Лампа светодиодная свеча на ветру E14 13Вт 6400K 220В Feron</t>
  </si>
  <si>
    <t>УТ000054257</t>
  </si>
  <si>
    <t>Лампа светодиодная свеча прозрачная E14  8Вт 4500K 220В General Filament</t>
  </si>
  <si>
    <t>УТ000054254</t>
  </si>
  <si>
    <t>Лампа светодиодная свеча прозрачная E14 12Вт 6500K 220В General Filament</t>
  </si>
  <si>
    <t>УТ000058252</t>
  </si>
  <si>
    <t>Лампа светодиодная шар E14  7Вт 2700K 220В Feron</t>
  </si>
  <si>
    <t>УТ000058251</t>
  </si>
  <si>
    <t>Лампа светодиодная шар E14  7Вт 4000K 220В Feron</t>
  </si>
  <si>
    <t>УТ000030610</t>
  </si>
  <si>
    <t>Лампа светодиодная шар E14  7Вт 4500K 220В General</t>
  </si>
  <si>
    <t>УТ000056112</t>
  </si>
  <si>
    <t>Лампа светодиодная шар E14  7Вт 6400K 220В Feron</t>
  </si>
  <si>
    <t>УТ000040022</t>
  </si>
  <si>
    <t>Лампа светодиодная шар E14  7Вт 6500K 220В General</t>
  </si>
  <si>
    <t>УТ000014762</t>
  </si>
  <si>
    <t>Лампа светодиодная шар E14  8.5Вт 3000K 220В Smartbuy</t>
  </si>
  <si>
    <t>УТ000028658</t>
  </si>
  <si>
    <t>Лампа светодиодная шар E14  9.5Вт 3000K 220В Smartbuy</t>
  </si>
  <si>
    <t>УТ000056391</t>
  </si>
  <si>
    <t>Лампа светодиодная шар E14  9Вт 4000K 220В Feron</t>
  </si>
  <si>
    <t>УТ000058254</t>
  </si>
  <si>
    <t>Лампа светодиодная шар E14  9Вт 6400K 220В Feron</t>
  </si>
  <si>
    <t>УТ000038832</t>
  </si>
  <si>
    <t>Лампа светодиодная шар E14 10Вт 2700K 220В General</t>
  </si>
  <si>
    <t>УТ000027493</t>
  </si>
  <si>
    <t>Лампа светодиодная шар E14 10Вт 4500K 220В General</t>
  </si>
  <si>
    <t>УТ000038305</t>
  </si>
  <si>
    <t>Лампа светодиодная шар E14 10Вт 6500K 220В General</t>
  </si>
  <si>
    <t>УТ000056113</t>
  </si>
  <si>
    <t>Лампа светодиодная шар E14 11Вт 6400K 220В Feron</t>
  </si>
  <si>
    <t>УТ000051818</t>
  </si>
  <si>
    <t>Лампа светодиодная шар E14 12Вт 3000K 220В Smartbuy</t>
  </si>
  <si>
    <t>УТ000043365</t>
  </si>
  <si>
    <t>Лампа светодиодная шар E14 12Вт 4500K 220В General</t>
  </si>
  <si>
    <t>УТ000043366</t>
  </si>
  <si>
    <t>Лампа светодиодная шар E14 12Вт 6500K 220В General</t>
  </si>
  <si>
    <t>УТ000056116</t>
  </si>
  <si>
    <t>Лампа светодиодная шар E14 13Вт 2700K 220В Feron</t>
  </si>
  <si>
    <t>УТ000056115</t>
  </si>
  <si>
    <t>Лампа светодиодная шар E14 13Вт 4000K 220В Feron</t>
  </si>
  <si>
    <t>УТ000056114</t>
  </si>
  <si>
    <t>Лампа светодиодная шар E14 13Вт 6400K 220В Feron</t>
  </si>
  <si>
    <t>УТ000057865</t>
  </si>
  <si>
    <t>Лампа светодиодная шар матовая E14  7Вт 4500K 220В General Filament</t>
  </si>
  <si>
    <t xml:space="preserve"> Светодиодные лампы с цоколем E27</t>
  </si>
  <si>
    <t>УТ000056119</t>
  </si>
  <si>
    <t>Лампа светодиодная A60 E27  7Вт 2700K 220В Feron</t>
  </si>
  <si>
    <t>УТ000056118</t>
  </si>
  <si>
    <t>Лампа светодиодная A60 E27  7Вт 4000K 220В Feron</t>
  </si>
  <si>
    <t>УТ000056117</t>
  </si>
  <si>
    <t>Лампа светодиодная A60 E27  7Вт 6400K 220В Feron</t>
  </si>
  <si>
    <t>УТ000056122</t>
  </si>
  <si>
    <t>Лампа светодиодная A60 E27 10Вт 2700K 220В Feron</t>
  </si>
  <si>
    <t>УТ000056121</t>
  </si>
  <si>
    <t>Лампа светодиодная A60 E27 10Вт 4000K 220В Feron</t>
  </si>
  <si>
    <t>УТ000056120</t>
  </si>
  <si>
    <t>Лампа светодиодная A60 E27 10Вт 6400K 220В Feron</t>
  </si>
  <si>
    <t>УТ000042073</t>
  </si>
  <si>
    <t>Лампа светодиодная A60 E27 11Вт 2700K 220В General</t>
  </si>
  <si>
    <t>УТ000006261</t>
  </si>
  <si>
    <t>Лампа светодиодная A60 E27 11Вт 3000K 220В Smartbuy</t>
  </si>
  <si>
    <t>УТ000027563</t>
  </si>
  <si>
    <t>Лампа светодиодная A60 E27 11Вт 4500K 220В General</t>
  </si>
  <si>
    <t>УТ000039701</t>
  </si>
  <si>
    <t>Лампа светодиодная A60 E27 11Вт 6500K 220В General</t>
  </si>
  <si>
    <t>УТ000056123</t>
  </si>
  <si>
    <t>Лампа светодиодная A60 E27 12Вт 2700K 220В Feron</t>
  </si>
  <si>
    <t>УТ000056124</t>
  </si>
  <si>
    <t>Лампа светодиодная A60 E27 12Вт 4000K 220В Feron</t>
  </si>
  <si>
    <t>УТ000056125</t>
  </si>
  <si>
    <t>Лампа светодиодная A60 E27 12Вт 6400K 220В Feron</t>
  </si>
  <si>
    <t>УТ000027564</t>
  </si>
  <si>
    <t>Лампа светодиодная A60 E27 14Вт 4500K 220В General</t>
  </si>
  <si>
    <t>УТ000039702</t>
  </si>
  <si>
    <t>Лампа светодиодная A60 E27 14Вт 6500K 220В General</t>
  </si>
  <si>
    <t>УТ000056128</t>
  </si>
  <si>
    <t>Лампа светодиодная A60 E27 15Вт 2700K 220В Feron</t>
  </si>
  <si>
    <t>УТ000056127</t>
  </si>
  <si>
    <t>Лампа светодиодная A60 E27 15Вт 4000K 220В Feron</t>
  </si>
  <si>
    <t>УТ000056126</t>
  </si>
  <si>
    <t>Лампа светодиодная A60 E27 15Вт 6400K 220В Feron</t>
  </si>
  <si>
    <t>УТ000046047</t>
  </si>
  <si>
    <t>Лампа светодиодная A60 E27 17Вт 2700K 220В General</t>
  </si>
  <si>
    <t>УТ000027565</t>
  </si>
  <si>
    <t>Лампа светодиодная A60 E27 17Вт 4500K 220В General</t>
  </si>
  <si>
    <t>УТ000027566</t>
  </si>
  <si>
    <t>Лампа светодиодная A60 E27 20Вт 4500K 220В General</t>
  </si>
  <si>
    <t>УТ000039704</t>
  </si>
  <si>
    <t>Лампа светодиодная A60 E27 20Вт 6500K 220В General</t>
  </si>
  <si>
    <t>УТ000029564</t>
  </si>
  <si>
    <t>Лампа светодиодная A60 E27 25Вт 4500K 220В General</t>
  </si>
  <si>
    <t>УТ000039705</t>
  </si>
  <si>
    <t>Лампа светодиодная A60 E27 25Вт 6500K 220В General</t>
  </si>
  <si>
    <t>УТ000056129</t>
  </si>
  <si>
    <t>Лампа светодиодная A65 E27 20Вт 2700K 220В Feron</t>
  </si>
  <si>
    <t>УТ000056130</t>
  </si>
  <si>
    <t>Лампа светодиодная A65 E27 20Вт 4000K 220В Feron</t>
  </si>
  <si>
    <t>УТ000056131</t>
  </si>
  <si>
    <t>Лампа светодиодная A65 E27 20Вт 6400K 220В Feron</t>
  </si>
  <si>
    <t>УТ000045270</t>
  </si>
  <si>
    <t>Лампа светодиодная A65 E27 25Вт 3000K 220В Smartbuy</t>
  </si>
  <si>
    <t>УТ000056133</t>
  </si>
  <si>
    <t>Лампа светодиодная A65 E27 25Вт 4000K 220В Feron</t>
  </si>
  <si>
    <t>УТ000056132</t>
  </si>
  <si>
    <t>Лампа светодиодная A65 E27 25Вт 6400K 220В Feron</t>
  </si>
  <si>
    <t>УТ000056136</t>
  </si>
  <si>
    <t>Лампа светодиодная HP E27/E40  30Вт 4000K 220В Feron</t>
  </si>
  <si>
    <t>УТ000056135</t>
  </si>
  <si>
    <t>Лампа светодиодная HP E27/E40  30Вт 6400K 220В Feron</t>
  </si>
  <si>
    <t>УТ000056137</t>
  </si>
  <si>
    <t>Лампа светодиодная HP E27/E40  40Вт 6400K 220В Feron</t>
  </si>
  <si>
    <t>УТ000056138</t>
  </si>
  <si>
    <t>Лампа светодиодная HP E27/E40  50Вт 6400K 220В Feron</t>
  </si>
  <si>
    <t>УТ000056139</t>
  </si>
  <si>
    <t>Лампа светодиодная HP E27/E40  60Вт 6400K 220В Feron</t>
  </si>
  <si>
    <t>УТ000056140</t>
  </si>
  <si>
    <t>Лампа светодиодная HP E27/E40  70Вт 6400K 220В Feron</t>
  </si>
  <si>
    <t>УТ000021774</t>
  </si>
  <si>
    <t>Лампа светодиодная HP E27/E40 100Вт 4000K 220В Smartbuy</t>
  </si>
  <si>
    <t>УТ000056141</t>
  </si>
  <si>
    <t>Лампа светодиодная HP E27/E40 100Вт 6400K 220В Feron</t>
  </si>
  <si>
    <t>УТ000056161</t>
  </si>
  <si>
    <t>Лампа светодиодная зеркальная E27 R63 11Вт 2700K 230В Feron</t>
  </si>
  <si>
    <t>УТ000057931</t>
  </si>
  <si>
    <t>Лампа светодиодная зеркальная E27 R63 11Вт 4000K 230В Feron</t>
  </si>
  <si>
    <t>УТ000008731</t>
  </si>
  <si>
    <t>Лампа светодиодная свеча E27  5Вт 3000K 220В Smartbuy</t>
  </si>
  <si>
    <t>УТ000004263</t>
  </si>
  <si>
    <t>Лампа светодиодная свеча E27  7Вт 2700K 220В Feron</t>
  </si>
  <si>
    <t>УТ000004259</t>
  </si>
  <si>
    <t>Лампа светодиодная свеча E27  7Вт 4000K 220В Feron</t>
  </si>
  <si>
    <t>УТ000027574</t>
  </si>
  <si>
    <t>Лампа светодиодная свеча E27  7Вт 4500K 220В General</t>
  </si>
  <si>
    <t>УТ000004261</t>
  </si>
  <si>
    <t>Лампа светодиодная свеча E27  7Вт 6400K 220В Feron</t>
  </si>
  <si>
    <t>УТ000045330</t>
  </si>
  <si>
    <t>Лампа светодиодная свеча E27  7Вт 6500K 220В General</t>
  </si>
  <si>
    <t>УТ000024514</t>
  </si>
  <si>
    <t>Лампа светодиодная свеча E27  9.5Вт 3000K 220В Smartbuy</t>
  </si>
  <si>
    <t>УТ000034920</t>
  </si>
  <si>
    <t>Лампа светодиодная свеча E27 10Вт 2700K 220В General</t>
  </si>
  <si>
    <t>УТ000027569</t>
  </si>
  <si>
    <t>Лампа светодиодная свеча E27 10Вт 4500K 220В General</t>
  </si>
  <si>
    <t>УТ000039692</t>
  </si>
  <si>
    <t>Лампа светодиодная свеча E27 10Вт 6500K 220В General</t>
  </si>
  <si>
    <t>УТ000049247</t>
  </si>
  <si>
    <t>Лампа светодиодная свеча E27 12Вт 3000K 220В Smartbuy</t>
  </si>
  <si>
    <t>УТ000056142</t>
  </si>
  <si>
    <t>Лампа светодиодная свеча E27 13Вт 2700K 220В Feron</t>
  </si>
  <si>
    <t>УТ000056143</t>
  </si>
  <si>
    <t>Лампа светодиодная свеча E27 13Вт 4000K 220В Feron</t>
  </si>
  <si>
    <t>УТ000056144</t>
  </si>
  <si>
    <t>Лампа светодиодная свеча E27 13Вт 6400K 220В Feron</t>
  </si>
  <si>
    <t>УТ000054255</t>
  </si>
  <si>
    <t>Лампа светодиодная свеча прозрачная E27 12Вт 6500K 220В General Filament</t>
  </si>
  <si>
    <t>УТ000059096</t>
  </si>
  <si>
    <t>Лампа светодиодная шар E27  5Вт 2700K 220В Feron</t>
  </si>
  <si>
    <t>УТ000058904</t>
  </si>
  <si>
    <t>Лампа светодиодная шар E27  5Вт 4000K 220В Feron</t>
  </si>
  <si>
    <t>УТ000056147</t>
  </si>
  <si>
    <t>Лампа светодиодная шар E27  7Вт 2700K 220В Feron</t>
  </si>
  <si>
    <t>УТ000056146</t>
  </si>
  <si>
    <t>Лампа светодиодная шар E27  7Вт 4000K 220В Feron</t>
  </si>
  <si>
    <t>УТ000027504</t>
  </si>
  <si>
    <t>Лампа светодиодная шар E27  7Вт 4500K 220В General</t>
  </si>
  <si>
    <t>УТ000056145</t>
  </si>
  <si>
    <t>Лампа светодиодная шар E27  7Вт 6400K 220В Feron</t>
  </si>
  <si>
    <t>УТ000039693</t>
  </si>
  <si>
    <t>Лампа светодиодная шар E27  7Вт 6500K 220В General</t>
  </si>
  <si>
    <t>УТ000056148</t>
  </si>
  <si>
    <t>Лампа светодиодная шар E27  9Вт 2700K 220В Feron</t>
  </si>
  <si>
    <t>УТ000056149</t>
  </si>
  <si>
    <t>Лампа светодиодная шар E27  9Вт 4000K 220В Feron</t>
  </si>
  <si>
    <t>УТ000056150</t>
  </si>
  <si>
    <t>Лампа светодиодная шар E27  9Вт 6400K 220В Feron</t>
  </si>
  <si>
    <t>УТ000027502</t>
  </si>
  <si>
    <t>Лампа светодиодная шар E27 10Вт 4500K 220В General</t>
  </si>
  <si>
    <t>УТ000039694</t>
  </si>
  <si>
    <t>Лампа светодиодная шар E27 10Вт 6500K 220В General</t>
  </si>
  <si>
    <t>УТ000039993</t>
  </si>
  <si>
    <t>Лампа светодиодная шар E27 12Вт 4000K 220В Smartbuy</t>
  </si>
  <si>
    <t>УТ000056153</t>
  </si>
  <si>
    <t>Лампа светодиодная шар E27 13Вт 2700K 220В Feron</t>
  </si>
  <si>
    <t>УТ000056152</t>
  </si>
  <si>
    <t>Лампа светодиодная шар E27 13Вт 4000K 220В Feron</t>
  </si>
  <si>
    <t>УТ000056151</t>
  </si>
  <si>
    <t>Лампа светодиодная шар E27 13Вт 6400K 220В Feron</t>
  </si>
  <si>
    <t xml:space="preserve"> Светодиодные лампы с цоколем G13</t>
  </si>
  <si>
    <t>УТ000056156</t>
  </si>
  <si>
    <t>Лампа светодиодная G13 T8  600мм 10Вт 6400K 230В Feron</t>
  </si>
  <si>
    <t>УТ000047356</t>
  </si>
  <si>
    <t>Лампа светодиодная G13 T8  600мм 14Вт 6500K 220В Ecola Premium</t>
  </si>
  <si>
    <t>УТ000056160</t>
  </si>
  <si>
    <t>Лампа светодиодная G13 T8  900мм 14Вт 6500K 230В JazzWay</t>
  </si>
  <si>
    <t>УТ000056154</t>
  </si>
  <si>
    <t>Лампа светодиодная G13 T8 1200мм 18Вт 6400K 230В Feron</t>
  </si>
  <si>
    <t>УТ000049348</t>
  </si>
  <si>
    <t>Лампа светодиодная G13 T8 1200мм 22Вт 6500K 220В Ecola Premium (поворотный цоколь, прозрачная)</t>
  </si>
  <si>
    <t>УТ000056157</t>
  </si>
  <si>
    <t>Лампа светодиодная G13 T8 1500мм 24Вт 6400K 230В Feron</t>
  </si>
  <si>
    <t xml:space="preserve"> Светодиодные лампы с цоколем G4</t>
  </si>
  <si>
    <t>УТ000056162</t>
  </si>
  <si>
    <t>Лампа светодиодная G4 12В 2Вт 2700K Feron</t>
  </si>
  <si>
    <t>УТ000056163</t>
  </si>
  <si>
    <t>Лампа светодиодная G4 12В 2Вт 4000K Feron</t>
  </si>
  <si>
    <t>УТ000056164</t>
  </si>
  <si>
    <t>Лампа светодиодная G4 12В 2Вт 6400K Feron</t>
  </si>
  <si>
    <t>УТ000020079</t>
  </si>
  <si>
    <t>Лампа светодиодная G4 12В 3,5Вт 4000K Smartbuy</t>
  </si>
  <si>
    <t>УТ000020080</t>
  </si>
  <si>
    <t>Лампа светодиодная G4 12В 3,5Вт 6400K Smartbuy</t>
  </si>
  <si>
    <t>УТ000056921</t>
  </si>
  <si>
    <t>Лампа светодиодная G4 12В 3Вт 2700K Feron силикон</t>
  </si>
  <si>
    <t>УТ000055603</t>
  </si>
  <si>
    <t>Лампа светодиодная G4 12В 3Вт 4000K Feron силикон</t>
  </si>
  <si>
    <t>УТ000029966</t>
  </si>
  <si>
    <t>Лампа светодиодная G4 12В 3Вт 4500K General силикон COB</t>
  </si>
  <si>
    <t>УТ000055602</t>
  </si>
  <si>
    <t>Лампа светодиодная G4 12В 3Вт 6400K Feron силикон</t>
  </si>
  <si>
    <t>УТ000018632</t>
  </si>
  <si>
    <t>Лампа светодиодная G4 12В 4,5Вт 3000K Smartbuy</t>
  </si>
  <si>
    <t>УТ000018633</t>
  </si>
  <si>
    <t>Лампа светодиодная G4 12В 4,5Вт 4000K Smartbuy</t>
  </si>
  <si>
    <t>УТ000027544</t>
  </si>
  <si>
    <t>Лампа светодиодная G4 12В 5Вт 4500K General пластик прозрачный</t>
  </si>
  <si>
    <t>УТ000059049</t>
  </si>
  <si>
    <t>Лампа светодиодная G4 12В 5Вт 6000K Smartbuy (SBL-G4-5-60K)</t>
  </si>
  <si>
    <t>УТ000034934</t>
  </si>
  <si>
    <t>Лампа светодиодная G4 230В 3Вт 4500K General GОLDEN</t>
  </si>
  <si>
    <t>УТ000055604</t>
  </si>
  <si>
    <t>Лампа светодиодная G4 230В 5Вт 6400K Feron кукуруза пластик</t>
  </si>
  <si>
    <t>УТ000055609</t>
  </si>
  <si>
    <t>Лампа светодиодная G4 230В 7Вт 4000K Feron кукуруза пластик</t>
  </si>
  <si>
    <t>УТ000055608</t>
  </si>
  <si>
    <t>Лампа светодиодная G4 230В 7Вт 6400K Feron кукуруза пластик</t>
  </si>
  <si>
    <t xml:space="preserve"> Светодиодные лампы с цоколем G9</t>
  </si>
  <si>
    <t>УТ000007513</t>
  </si>
  <si>
    <t>Лампа светодиодная G9 230В  4Вт 4000K Smartbuy</t>
  </si>
  <si>
    <t>УТ000018635</t>
  </si>
  <si>
    <t>Лампа светодиодная G9 230В  4Вт 6400K Smartbuy</t>
  </si>
  <si>
    <t>УТ000018636</t>
  </si>
  <si>
    <t>Лампа светодиодная G9 230В  5.5Вт 3000K Smartbuy</t>
  </si>
  <si>
    <t>УТ000018637</t>
  </si>
  <si>
    <t>Лампа светодиодная G9 230В  5.5Вт 4000K Smartbuy</t>
  </si>
  <si>
    <t>УТ000056171</t>
  </si>
  <si>
    <t>Лампа светодиодная G9 230В  5Вт 2700K Feron кукуруза пластик</t>
  </si>
  <si>
    <t>УТ000056944</t>
  </si>
  <si>
    <t>Лампа светодиодная G9 230В  5Вт 2700K Feron матовая</t>
  </si>
  <si>
    <t>УТ000055654</t>
  </si>
  <si>
    <t>Лампа светодиодная G9 230В  5Вт 2800K Ecola</t>
  </si>
  <si>
    <t>УТ000055615</t>
  </si>
  <si>
    <t>Лампа светодиодная G9 230В  5Вт 4000K Feron кукуруза пластик</t>
  </si>
  <si>
    <t>УТ000055607</t>
  </si>
  <si>
    <t>Лампа светодиодная G9 230В  5Вт 4000K Feron матовая</t>
  </si>
  <si>
    <t>УТ000055655</t>
  </si>
  <si>
    <t>Лампа светодиодная G9 230В  5Вт 4200K Ecola</t>
  </si>
  <si>
    <t>УТ000034924</t>
  </si>
  <si>
    <t>Лампа светодиодная G9 230В  5Вт 4500K General пластик</t>
  </si>
  <si>
    <t>УТ000055614</t>
  </si>
  <si>
    <t>Лампа светодиодная G9 230В  5Вт 6400K Feron кукуруза пластик</t>
  </si>
  <si>
    <t>УТ000055606</t>
  </si>
  <si>
    <t>Лампа светодиодная G9 230В  5Вт 6400K Feron матовая</t>
  </si>
  <si>
    <t>УТ000056178</t>
  </si>
  <si>
    <t>Лампа светодиодная G9 230В  7Вт 2700K Feron кукуруза пластик</t>
  </si>
  <si>
    <t>УТ000056945</t>
  </si>
  <si>
    <t>Лампа светодиодная G9 230В  7Вт 2700K Feron матовая</t>
  </si>
  <si>
    <t>УТ000036302</t>
  </si>
  <si>
    <t>Лампа светодиодная G9 230В  7Вт 2700K General пластик</t>
  </si>
  <si>
    <t>УТ000055657</t>
  </si>
  <si>
    <t>Лампа светодиодная G9 230В  7Вт 2800K Ecola</t>
  </si>
  <si>
    <t>УТ000055617</t>
  </si>
  <si>
    <t>Лампа светодиодная G9 230В  7Вт 4000K Feron кукуруза пластик</t>
  </si>
  <si>
    <t>УТ000055611</t>
  </si>
  <si>
    <t>Лампа светодиодная G9 230В  7Вт 4000K Feron матовая</t>
  </si>
  <si>
    <t>УТ000055653</t>
  </si>
  <si>
    <t>Лампа светодиодная G9 230В  7Вт 4200K Ecola</t>
  </si>
  <si>
    <t>УТ000035527</t>
  </si>
  <si>
    <t>Лампа светодиодная G9 230В  7Вт 4500K General пластик</t>
  </si>
  <si>
    <t>УТ000055616</t>
  </si>
  <si>
    <t>Лампа светодиодная G9 230В  7Вт 6400K Feron кукуруза пластик</t>
  </si>
  <si>
    <t xml:space="preserve"> Светодиодные лампы с цоколем GU10</t>
  </si>
  <si>
    <t>УТ000000495</t>
  </si>
  <si>
    <t>Лампа светодиодная GU10 220В  9Вт 2700K Feron</t>
  </si>
  <si>
    <t>УТ000004156</t>
  </si>
  <si>
    <t>Лампа светодиодная GU10 220В 11Вт 2700K Feron</t>
  </si>
  <si>
    <t>УТ000017850</t>
  </si>
  <si>
    <t>Лампа светодиодная GU10 220В 11Вт 4000K Feron</t>
  </si>
  <si>
    <t>УТ000012392</t>
  </si>
  <si>
    <t>Лампа светодиодная GU10 220В 11Вт 6400K Feron</t>
  </si>
  <si>
    <t xml:space="preserve"> Светодиодные лампы с цоколем GU5.3</t>
  </si>
  <si>
    <t>УТ000018639</t>
  </si>
  <si>
    <t>Лампа светодиодная GU5.3 12В  7Вт 3000K Smartbuy</t>
  </si>
  <si>
    <t>УТ000018640</t>
  </si>
  <si>
    <t>Лампа светодиодная GU5.3 12В  7Вт 4000K Smartbuy</t>
  </si>
  <si>
    <t>УТ000058561</t>
  </si>
  <si>
    <t>Лампа светодиодная GU5.3 230В  7Вт 2700K Feron теплый свет</t>
  </si>
  <si>
    <t>УТ000057933</t>
  </si>
  <si>
    <t>Лампа светодиодная GU5.3 230В  7Вт 4000K Feron белый свет</t>
  </si>
  <si>
    <t>УТ000057934</t>
  </si>
  <si>
    <t>Лампа светодиодная GU5.3 230В  7Вт 6400K Feron дневной свет</t>
  </si>
  <si>
    <t>УТ000039699</t>
  </si>
  <si>
    <t>Лампа светодиодная GU5.3 230В  7Вт 6500K General</t>
  </si>
  <si>
    <t>УТ000028656</t>
  </si>
  <si>
    <t>Лампа светодиодная GU5.3 230В  9,5Вт 3000K Smartbuy</t>
  </si>
  <si>
    <t>УТ000058011</t>
  </si>
  <si>
    <t>Лампа светодиодная GU5.3 230В  9Вт 4000K Feron белый свет</t>
  </si>
  <si>
    <t>УТ000058010</t>
  </si>
  <si>
    <t>Лампа светодиодная GU5.3 230В  9Вт 6400K Feron дневной свет</t>
  </si>
  <si>
    <t>УТ000039697</t>
  </si>
  <si>
    <t>Лампа светодиодная GU5.3 230В 10Вт 6500K General</t>
  </si>
  <si>
    <t>УТ000045272</t>
  </si>
  <si>
    <t>Лампа светодиодная GU5.3 230В 12Вт 3000K Smartbuy</t>
  </si>
  <si>
    <t>УТ000043908</t>
  </si>
  <si>
    <t>Лампа светодиодная GU5.3 230В 12Вт 4000K Smartbuy</t>
  </si>
  <si>
    <t>УТ000058580</t>
  </si>
  <si>
    <t>Лампа светодиодная GU5.3 230В 13Вт 2700K Feron теплый свет</t>
  </si>
  <si>
    <t>УТ000058578</t>
  </si>
  <si>
    <t>Лампа светодиодная GU5.3 230В 13Вт 4000K Feron белый свет</t>
  </si>
  <si>
    <t>УТ000058579</t>
  </si>
  <si>
    <t>Лампа светодиодная GU5.3 230В 13Вт 6400K Feron дневной свет</t>
  </si>
  <si>
    <t>УТ000056726</t>
  </si>
  <si>
    <t>Лампа светодиодная GU5.3 230В 15Вт 4500K General</t>
  </si>
  <si>
    <t xml:space="preserve"> Светодиодные лампы с цоколем GX53</t>
  </si>
  <si>
    <t>УТ000056668</t>
  </si>
  <si>
    <t>Лампа светодиодная GX53 220В  7Вт 4000K Feron</t>
  </si>
  <si>
    <t>УТ000038304</t>
  </si>
  <si>
    <t>Лампа светодиодная GX53 220В  7Вт 4500K General</t>
  </si>
  <si>
    <t>УТ000052214</t>
  </si>
  <si>
    <t>Лампа светодиодная GX53 220В  7Вт 6500K General</t>
  </si>
  <si>
    <t>УТ000043529</t>
  </si>
  <si>
    <t>Лампа светодиодная GX53 220В  8Вт 2800K матовое стекло Ecola Light</t>
  </si>
  <si>
    <t>УТ000052244</t>
  </si>
  <si>
    <t>Лампа светодиодная GX53 220В  8Вт 4000K Онлайт</t>
  </si>
  <si>
    <t>УТ000049385</t>
  </si>
  <si>
    <t>Лампа светодиодная GX53 220В  8Вт 4200K матовое стекло Ecola Light</t>
  </si>
  <si>
    <t>УТ000043531</t>
  </si>
  <si>
    <t>Лампа светодиодная GX53 220В  8Вт 6400K Ecola Light</t>
  </si>
  <si>
    <t>УТ000056195</t>
  </si>
  <si>
    <t>Лампа светодиодная GX53 220В  9Вт 2700K Feron</t>
  </si>
  <si>
    <t>УТ000056194</t>
  </si>
  <si>
    <t>Лампа светодиодная GX53 220В  9Вт 4000K Feron</t>
  </si>
  <si>
    <t>УТ000049346</t>
  </si>
  <si>
    <t>Лампа светодиодная GX53 220В  9Вт 6400K Feron</t>
  </si>
  <si>
    <t>УТ000043526</t>
  </si>
  <si>
    <t>Лампа светодиодная GX53 220В 10Вт 2800K Ecola Premium</t>
  </si>
  <si>
    <t>УТ000043527</t>
  </si>
  <si>
    <t>Лампа светодиодная GX53 220В 10Вт 4200K Ecola Premium</t>
  </si>
  <si>
    <t>УТ000043528</t>
  </si>
  <si>
    <t>Лампа светодиодная GX53 220В 10Вт 6000K Ecola Premium</t>
  </si>
  <si>
    <t>УТ000056196</t>
  </si>
  <si>
    <t>Лампа светодиодная GX53 220В 12Вт 2700K Feron</t>
  </si>
  <si>
    <t>УТ000046550</t>
  </si>
  <si>
    <t>Лампа светодиодная GX53 220В 12Вт 2800K Ecola Premium</t>
  </si>
  <si>
    <t>УТ000056197</t>
  </si>
  <si>
    <t>Лампа светодиодная GX53 220В 12Вт 4000K Feron</t>
  </si>
  <si>
    <t>УТ000046551</t>
  </si>
  <si>
    <t>Лампа светодиодная GX53 220В 12Вт 4200K Ecola Premium</t>
  </si>
  <si>
    <t>УТ000029217</t>
  </si>
  <si>
    <t>Лампа светодиодная GX53 220В 12Вт 4500K General</t>
  </si>
  <si>
    <t>УТ000052212</t>
  </si>
  <si>
    <t>Лампа светодиодная GX53 220В 12Вт 6500K General</t>
  </si>
  <si>
    <t>УТ000056201</t>
  </si>
  <si>
    <t>Лампа светодиодная GX53 220В 15Вт 2700K Feron</t>
  </si>
  <si>
    <t>УТ000056200</t>
  </si>
  <si>
    <t>Лампа светодиодная GX53 220В 15Вт 4000K Feron</t>
  </si>
  <si>
    <t>УТ000040510</t>
  </si>
  <si>
    <t>Лампа светодиодная GX53 220В 15Вт 4500K General</t>
  </si>
  <si>
    <t>УТ000056199</t>
  </si>
  <si>
    <t>Лампа светодиодная GX53 220В 15Вт 6400K Feron</t>
  </si>
  <si>
    <t>УТ000052213</t>
  </si>
  <si>
    <t>Лампа светодиодная GX53 220В 15Вт 6500K General</t>
  </si>
  <si>
    <t xml:space="preserve"> Лампы со встроенным управлением</t>
  </si>
  <si>
    <t>УТ000058634</t>
  </si>
  <si>
    <t>Лампа LED RGBW с пультом управления светом 5Вт Е27</t>
  </si>
  <si>
    <t xml:space="preserve"> Лампы специального назначения</t>
  </si>
  <si>
    <t>УТ000056509</t>
  </si>
  <si>
    <t>Лампа для духовых шкафов T25 E14 15Вт 220В 300*C Favor Калашниково</t>
  </si>
  <si>
    <t>УТ000022586</t>
  </si>
  <si>
    <t>Лампа для духовых шкафов T25 E14 15Вт 220В 300°C Camelion</t>
  </si>
  <si>
    <t>УТ000005531</t>
  </si>
  <si>
    <t>Лампа накаливания для холодильников и швейных машин Е14 15Вт 220В Т25 Favor</t>
  </si>
  <si>
    <t>УТ000018698</t>
  </si>
  <si>
    <t>Лампа накаливания МО 12В 40Вт E27</t>
  </si>
  <si>
    <t>УТ000018697</t>
  </si>
  <si>
    <t>Лампа накаливания МО 12В 60Вт E27</t>
  </si>
  <si>
    <t>УТ000056666</t>
  </si>
  <si>
    <t>Лампа накаливания МО 24В 40Вт E27</t>
  </si>
  <si>
    <t>УТ000014192</t>
  </si>
  <si>
    <t>Лампа накаливания МО 36В 40Вт E27</t>
  </si>
  <si>
    <t>УТ000017702</t>
  </si>
  <si>
    <t>Лампа накаливания МО 36В 60Вт E27</t>
  </si>
  <si>
    <t>УТ000055915</t>
  </si>
  <si>
    <t>Лампа накаливания МО 36В 95Вт E27</t>
  </si>
  <si>
    <t>УТ000012188</t>
  </si>
  <si>
    <t>Лампа светодиодная для холодильников и швейных машин Е14  3Вт 4000K 220В Т25 Ecola B4UV30ELC</t>
  </si>
  <si>
    <t>УТ000043524</t>
  </si>
  <si>
    <t>Лампа светодиодная для холодильников и швейных машин Е14  3Вт 6000K 220В Т25 340° Ecola B4UD30ELC</t>
  </si>
  <si>
    <t>УТ000004519</t>
  </si>
  <si>
    <t>Лампа светодиодная низковольтная 12-48В 10Вт 4000K Feron</t>
  </si>
  <si>
    <t>УТ000008520</t>
  </si>
  <si>
    <t>Лампа энергосберегающая 2G7  9Вт 6400К 220В FPL для светильников Camelion</t>
  </si>
  <si>
    <t>УТ000008521</t>
  </si>
  <si>
    <t>Лампа энергосберегающая 2G7 11Вт 6400К 220В FPL для светильников Camelion</t>
  </si>
  <si>
    <t>00410049758</t>
  </si>
  <si>
    <t>Лампа энергосберегающая G23  9Вт 4200К/220В, LH9-U/842, для светильников Camelion</t>
  </si>
  <si>
    <t>00410049757</t>
  </si>
  <si>
    <t>Лампа энергосберегающая G23 11Вт 4200К 220В для светильников Camelion LH11-U/842</t>
  </si>
  <si>
    <t xml:space="preserve"> Патроны, ламподержатели</t>
  </si>
  <si>
    <t xml:space="preserve"> Патроны</t>
  </si>
  <si>
    <t>УТ000058905</t>
  </si>
  <si>
    <t>Патрон E14 карболит люстровый с кольцом черный Navigator</t>
  </si>
  <si>
    <t>УТ000017853</t>
  </si>
  <si>
    <t>Патрон E14 карболит подвесной черный Smartbuy SBE-LHB-s-E14</t>
  </si>
  <si>
    <t>УТ000002090</t>
  </si>
  <si>
    <t>Патрон E14 карболит подвесной черный Universal 5560721 (Китай)</t>
  </si>
  <si>
    <t>УТ000029284</t>
  </si>
  <si>
    <t>Патрон E14 керамический Universal 5565327</t>
  </si>
  <si>
    <t>УТ000056946</t>
  </si>
  <si>
    <t>Патрон E14 термостойкий пластик подвесной белый Navigator</t>
  </si>
  <si>
    <t>УТ000056947</t>
  </si>
  <si>
    <t>Патрон E14 термостойкий пластик подвесной чёрный Navigator</t>
  </si>
  <si>
    <t>УТ000004692</t>
  </si>
  <si>
    <t>Патрон E14 термостойкий пластик с кольцом белый 2А 250В Universal 7941531</t>
  </si>
  <si>
    <t>УТ000052513</t>
  </si>
  <si>
    <t>Патрон E27 карболит настенный черный</t>
  </si>
  <si>
    <t>УТ000002091</t>
  </si>
  <si>
    <t>Патрон E27 карболит настеный 4А 250В Universal 5560727 (Китай)</t>
  </si>
  <si>
    <t>УТ000058906</t>
  </si>
  <si>
    <t>Патрон E27 карболит подвесной М12 4А 250В Navigator</t>
  </si>
  <si>
    <t>УТ000052515</t>
  </si>
  <si>
    <t>Патрон E27 карболит потолочный черный</t>
  </si>
  <si>
    <t>УТ000007373</t>
  </si>
  <si>
    <t>Патрон E27 карболит потолочный черный Universal CD1204 5565303</t>
  </si>
  <si>
    <t>УТ000052516</t>
  </si>
  <si>
    <t>Патрон E27 керамический подвесной</t>
  </si>
  <si>
    <t>УТ000004695</t>
  </si>
  <si>
    <t>Патрон E27 керамический подвесной 4А Universal в упаковке 7944297</t>
  </si>
  <si>
    <t>УТ000029291</t>
  </si>
  <si>
    <t>Патрон E27 термостойкий пластик подвесной с клеммной колодкой белый 4А 250В Universal 1351</t>
  </si>
  <si>
    <t>УТ000029292</t>
  </si>
  <si>
    <t>Патрон E27 термостойкий пластик подвесной с клеммной колодкой черный 4А 250В Universal 48002</t>
  </si>
  <si>
    <t>УТ000051863</t>
  </si>
  <si>
    <t>Патрон E27 термостойкий пластик с кольцом Smartbuy (SBE-LHP-sr-E27)</t>
  </si>
  <si>
    <t>УТ000036022</t>
  </si>
  <si>
    <t>Патрон G13 для ламп T8 (SBE-LHP-G13)</t>
  </si>
  <si>
    <t>УТ000020085</t>
  </si>
  <si>
    <t>Патрон G4 Smartbuy (SBE-LHP-G4)</t>
  </si>
  <si>
    <t>УТ000056948</t>
  </si>
  <si>
    <t>Патрон G9 керамический LH29 FERON</t>
  </si>
  <si>
    <t>УТ000019064</t>
  </si>
  <si>
    <t>Патрон GU4/GU5.3 провод 2*0,75 15см 2А 250Вт Universal 5560719</t>
  </si>
  <si>
    <t>УТ000022850</t>
  </si>
  <si>
    <t>Патрон GU5.3 для галогенных ламп Navigator NLH-CL</t>
  </si>
  <si>
    <t>УТ000057296</t>
  </si>
  <si>
    <t>Патрон для люстры E-27, провод 300мм</t>
  </si>
  <si>
    <t>УТ000024526</t>
  </si>
  <si>
    <t>Подвес с патроном Е27 Smartbuy, белый SBE-CLHE27s-w</t>
  </si>
  <si>
    <t>УТ000024528</t>
  </si>
  <si>
    <t>Подвес с патроном Е27 Smartbuy, голубой SBE-CLHE27s-bl</t>
  </si>
  <si>
    <t>УТ000024533</t>
  </si>
  <si>
    <t>Подвес с патроном Е27 Smartbuy, оранжевый SBE-CLHE27s-o</t>
  </si>
  <si>
    <t>УТ000024535</t>
  </si>
  <si>
    <t>Подвес с патроном Е27 Smartbuy, черный SBE-CLHE27s-b</t>
  </si>
  <si>
    <t xml:space="preserve"> Переходники для ламп</t>
  </si>
  <si>
    <t>УТ000059086</t>
  </si>
  <si>
    <t>Патрон-переходник E14 на E27  белый SmartBuy (SBE-A-E14-27)</t>
  </si>
  <si>
    <t>00410051681</t>
  </si>
  <si>
    <t>Патрон-переходник E14 на E27 Feron</t>
  </si>
  <si>
    <t>УТ000059087</t>
  </si>
  <si>
    <t>Патрон-переходник E27 на E14  белый SmartBuy (SBE-A-E27-14)</t>
  </si>
  <si>
    <t>00410051682</t>
  </si>
  <si>
    <t>Патрон-переходник E27 на E14 Feron</t>
  </si>
  <si>
    <t>00410051683</t>
  </si>
  <si>
    <t>Патрон-переходник E27 на E40 Feron</t>
  </si>
  <si>
    <t>00410051692</t>
  </si>
  <si>
    <t>Патрон-переходник E40 на E27 Feron</t>
  </si>
  <si>
    <t>УТ000014784</t>
  </si>
  <si>
    <t>Патрон-переходник G23 на Е27 белый Ecola G23E7WEAY</t>
  </si>
  <si>
    <t>УТ000014785</t>
  </si>
  <si>
    <t>Патрон-переходник G24q на Е27 белый Ecola G24Q7WEAY</t>
  </si>
  <si>
    <t>УТ000000918</t>
  </si>
  <si>
    <t>Патрон-переходник GU10 на E14 для LED ламп TDS Огонек AC-02</t>
  </si>
  <si>
    <t>УТ000059088</t>
  </si>
  <si>
    <t>Переходник вилка-патрон Е-14 гибкий 150мм с выключателем белый (SBL-NL-003)</t>
  </si>
  <si>
    <t>УТ000010888</t>
  </si>
  <si>
    <t>Переходник вилка-патрон Е-14 гибкий 150мм с выключателем белый Ecola APF4NWEAY</t>
  </si>
  <si>
    <t>УТ000010889</t>
  </si>
  <si>
    <t>Переходник вилка-патрон Е-14 гибкий 300мм с выключателем белый Ecola APF4SWEAY</t>
  </si>
  <si>
    <t>УТ000053050</t>
  </si>
  <si>
    <t>Переходник вилка-патрон Е-27 c выключателем белый SmartBuy (SBE-A-L-E27)</t>
  </si>
  <si>
    <t>УТ000059089</t>
  </si>
  <si>
    <t>Переходник вилка-патрон Е-27 гибкий 150мм с выключателем белый (SBL-NL-004)</t>
  </si>
  <si>
    <t>УТ000010911</t>
  </si>
  <si>
    <t>Переходник гибкий Е-27 на Е27 300мм белый Ecola A7L17WEAY</t>
  </si>
  <si>
    <t xml:space="preserve"> Светильники внутреннего освещения</t>
  </si>
  <si>
    <t xml:space="preserve"> Ночники</t>
  </si>
  <si>
    <t>УТ000038265</t>
  </si>
  <si>
    <t>Ночник светодиодный IN HOME NLA 03-MY Гриб жёлтый с выключателем 230V 8989</t>
  </si>
  <si>
    <t>УТ000058124</t>
  </si>
  <si>
    <t>Ночник светодиодный IN HOME NLA 09-BY-DS Пчелка желтая с датчиком света «день-ночь» (0,5Вт)</t>
  </si>
  <si>
    <t>УТ000058126</t>
  </si>
  <si>
    <t>Ночник светодиодный IN HOME NLA 14-BB-DS Летучая мышка чёрная с датчиком света «день-ночь» (0,5Вт)</t>
  </si>
  <si>
    <t>УТ000058122</t>
  </si>
  <si>
    <t>Ночник светодиодный IN HOME NLA 15-BP-DS Бабочка розовая с датчиком света «день-ночь» (0,5Вт)</t>
  </si>
  <si>
    <t>УТ000059050</t>
  </si>
  <si>
    <t>Ночник светодиодный IN HOME NLE 04-LW-S белый с выключателем</t>
  </si>
  <si>
    <t>УТ000054833</t>
  </si>
  <si>
    <t>Ночник светодиодный PROconnect с датчиком "день-ночь" 46,5х45,5х13,5 75-0301</t>
  </si>
  <si>
    <t>УТ000057727</t>
  </si>
  <si>
    <t>Подсветка для зеркал OG-LDP12 USB</t>
  </si>
  <si>
    <t>УТ000057728</t>
  </si>
  <si>
    <t>Подсветка для зеркал OG-LDP13 USB</t>
  </si>
  <si>
    <t xml:space="preserve"> Светильники ЖКХ</t>
  </si>
  <si>
    <t xml:space="preserve"> Светильники ЖКХ с датчиком движения, звука IP65</t>
  </si>
  <si>
    <t>УТ000057936</t>
  </si>
  <si>
    <t>Светильник светодиодный ДБП-12w с датчиком 6500К 900Лм IP54 круглый белый (AL3006) Feron</t>
  </si>
  <si>
    <t>УТ000057935</t>
  </si>
  <si>
    <t>Светильник светодиодный ДБП-12w с оптико-акустическим датчиком 6500К 960Лм IP65 круглый белый (AL3008) Feron</t>
  </si>
  <si>
    <t>УТ000027665</t>
  </si>
  <si>
    <t>Светильник светодиодный ЖКХ оптико-акустический 7Вт 4000К IP65 OBL-R1-7-4K-WH-IP65-LED-SNRV, ОНЛАЙТ 71622</t>
  </si>
  <si>
    <t>УТ000050349</t>
  </si>
  <si>
    <t>Светильниксветодиодный ДБО-R1-12-4K-WIN-IP65-D ЖКХ круг с оптико-акустический 4000K TOKOV ELECTRIC TOK-R1/D-12-4K-WIN-IP65</t>
  </si>
  <si>
    <t xml:space="preserve"> Светильники ЖКХ, форма Круг IP65</t>
  </si>
  <si>
    <t>УТ000058869</t>
  </si>
  <si>
    <t>Светильник светодиодный ДБП- 8Вт 6500К 640Лм IP65 круглый белый (AL3005) Feron</t>
  </si>
  <si>
    <t>УТ000024153</t>
  </si>
  <si>
    <t>Светильник светодиодный ДБП-12Вт 6500К 900Лм IP65 круглый белый (AL3005) Feron</t>
  </si>
  <si>
    <t>УТ000051941</t>
  </si>
  <si>
    <t>Светильник светодиодный ДБП-18Вт 6500К 1440Лм IP65 круглый белый (AL3005) Feron</t>
  </si>
  <si>
    <t xml:space="preserve"> Светильники ЖКХ, форма Овал IP65</t>
  </si>
  <si>
    <t>УТ000058871</t>
  </si>
  <si>
    <t>Светильник светодиодный ДБП- 8Вт 6500К 640Лм IP65 овал белый (AL3005-1) Feron</t>
  </si>
  <si>
    <t>УТ000058870</t>
  </si>
  <si>
    <t>Светильник светодиодный ДБП-12Вт 6500К 900Лм IP65 овал белый (AL3005-1) Feron</t>
  </si>
  <si>
    <t xml:space="preserve"> Светильники линейные</t>
  </si>
  <si>
    <t>УТ000057204</t>
  </si>
  <si>
    <t>Cетевой шнур для светильника T5 Ecola LED linear с вилкой и общим выключателем, 1м</t>
  </si>
  <si>
    <t>УТ000021512</t>
  </si>
  <si>
    <t>Светильник светодиодный  6Вт, 450мм, 4000K, IP20, Jazzway PLED T5i-450 2850607</t>
  </si>
  <si>
    <t>УТ000022457</t>
  </si>
  <si>
    <t>Светильник светодиодный  6Вт, 450мм, 6500K, IP20, Jazzway PLED T5i-450 1036278</t>
  </si>
  <si>
    <t>УТ000021513</t>
  </si>
  <si>
    <t>Светильник светодиодный  8Вт, 600мм, 4000K, IP20, Jazzway PLED T5i-600  2850621</t>
  </si>
  <si>
    <t>УТ000022458</t>
  </si>
  <si>
    <t>Светильник светодиодный  8Вт, 600мм, 6500K, IP20, Jazzway PLED T5i-600 1036339</t>
  </si>
  <si>
    <t>УТ000022456</t>
  </si>
  <si>
    <t>Светильник светодиодный 10Вт, 900мм, 6500K, IP40, Jazzway PLED T5i-900 1036322А</t>
  </si>
  <si>
    <t>УТ000023318</t>
  </si>
  <si>
    <t>Светильник светодиодный 14Вт, 1200мм, 4000K, IP20,  Jazzway PLED T5i-1200 2850669А</t>
  </si>
  <si>
    <t>УТ000052510</t>
  </si>
  <si>
    <t>Светильник светодиодный 14Вт, 1200мм, 6500K, IP20,  Jazzway PLED T5i-1200</t>
  </si>
  <si>
    <t>УТ000045443</t>
  </si>
  <si>
    <t>Светильник светодиодный 18Вт, 4000K, LU2, матовый, SMARTBUY SBL-LU2-18W-40</t>
  </si>
  <si>
    <t>УТ000047022</t>
  </si>
  <si>
    <t>Светильник светодиодный 18Вт, 4000K, LU2, прозрачный, SMARTBUY SBL-LU2-18W-40-PR</t>
  </si>
  <si>
    <t>УТ000039996</t>
  </si>
  <si>
    <t>Светильник светодиодный 18Вт, 6400K, LU2, матовый, SMARTBUY SBL-LU2-18W</t>
  </si>
  <si>
    <t>УТ000051821</t>
  </si>
  <si>
    <t>Светильник светодиодный 18Вт, 6400K, LU2, прозрачный, SMARTBUY SBL-LU2-18W</t>
  </si>
  <si>
    <t>УТ000047025</t>
  </si>
  <si>
    <t>Светильник светодиодный 20Вт, 4000K, TPIP65, матовый, SMARTBUY SBL-TPIP65-20W-40K</t>
  </si>
  <si>
    <t>УТ000019200</t>
  </si>
  <si>
    <t>Светильник светодиодный 20Вт, 600мм, 4000K, IP20, Jazzway PPO/K 600  2854926</t>
  </si>
  <si>
    <t>УТ000051057</t>
  </si>
  <si>
    <t>Светильник светодиодный 220В, 10Вт, 6500К, 76Led, 1м, алюминиевая основа, пластиковый корпус</t>
  </si>
  <si>
    <t>УТ000029287</t>
  </si>
  <si>
    <t>Светильник светодиодный 220В, 14Вт, 6500К, 144Led, 1м, алюминиевая основа, пластиковый корпус</t>
  </si>
  <si>
    <t>УТ000039954</t>
  </si>
  <si>
    <t>Светильник светодиодный 36Вт 4000К СПО-108 IP40 IN HOME</t>
  </si>
  <si>
    <t>УТ000041300</t>
  </si>
  <si>
    <t>Светильник светодиодный 36Вт 6500К СПО-108 IP40 IN HOME</t>
  </si>
  <si>
    <t>УТ000053084</t>
  </si>
  <si>
    <t>Светильник светодиодный 36Вт, LU2 4000K, матовый SBL-LU2-36-40</t>
  </si>
  <si>
    <t>УТ000057592</t>
  </si>
  <si>
    <t>Светильник светодиодный потолочный 120Вт 6500K, PRO 055 (1200х35х160)</t>
  </si>
  <si>
    <t>УТ000049448</t>
  </si>
  <si>
    <t>Светильник светодиодный потолочный 120Вт 6500K, PRO CLASS</t>
  </si>
  <si>
    <t>УТ000057593</t>
  </si>
  <si>
    <t>Светильник светодиодный потолочный 150Вт 6500K, PRO 055 (1200х33х20)</t>
  </si>
  <si>
    <t>УТ000057588</t>
  </si>
  <si>
    <t>Светильник светодиодный потолочный 160Вт 6500K, PRO CLASS</t>
  </si>
  <si>
    <t>УТ000057589</t>
  </si>
  <si>
    <t>Светильник светодиодный потолочный 200Вт 6500K, PRO CLASS</t>
  </si>
  <si>
    <t>УТ000057590</t>
  </si>
  <si>
    <t>Светильник светодиодный потолочный 48Вт 6500K, PRO 055</t>
  </si>
  <si>
    <t>УТ000057586</t>
  </si>
  <si>
    <t>Светильник светодиодный потолочный 60Вт 6500K, PRO CLASS</t>
  </si>
  <si>
    <t>УТ000057591</t>
  </si>
  <si>
    <t>Светильник светодиодный потолочный 80Вт 6500K, PRO 055</t>
  </si>
  <si>
    <t>УТ000057587</t>
  </si>
  <si>
    <t>Светильник светодиодный потолочный 80Вт 6500K, PRO 055 (1200х22х20)</t>
  </si>
  <si>
    <t>УТ000049446</t>
  </si>
  <si>
    <t>Светильник светодиодный потолочный 90Вт 6500K, PRO CLASS</t>
  </si>
  <si>
    <t>УТ000041639</t>
  </si>
  <si>
    <t>Сетевой шнур для LED CAB (2pin)  230V,1200mm,2*0.5mm, CAB239 10312</t>
  </si>
  <si>
    <t xml:space="preserve"> Светильники линейные под лампу</t>
  </si>
  <si>
    <t>УТ000058872</t>
  </si>
  <si>
    <t>Светильник под светодиодную лампу без стекла 1хT8 G13  600мм Feron (AL4001)</t>
  </si>
  <si>
    <t>УТ000058873</t>
  </si>
  <si>
    <t>Светильник под светодиодную лампу без стекла 1хT8 G13 1200мм Feron (AL4001)</t>
  </si>
  <si>
    <t>УТ000058874</t>
  </si>
  <si>
    <t>Светильник под светодиодную лампу без стекла 2хT8 G13  600мм Feron (AL4002)</t>
  </si>
  <si>
    <t>УТ000058875</t>
  </si>
  <si>
    <t>Светильник под светодиодную лампу без стекла 2хT8 G13 1200мм Feron (AL4002)</t>
  </si>
  <si>
    <t xml:space="preserve"> Светильники настенные, бра</t>
  </si>
  <si>
    <t>УТ000054733</t>
  </si>
  <si>
    <t>Светильник светодиодный настенный тумблер, скотч, магнитный   (3*AAA) (``)</t>
  </si>
  <si>
    <t xml:space="preserve"> Светильники настольные</t>
  </si>
  <si>
    <t>УТ000054811</t>
  </si>
  <si>
    <t>Светильник настольный Feron E14 60Вт 220В на струбцине, черный, DE1430</t>
  </si>
  <si>
    <t>УТ000057420</t>
  </si>
  <si>
    <t>Светильник настольный LED 2.0Вт 3 режима 6500 белый, гибкий, аккум,шнур на USB</t>
  </si>
  <si>
    <t>УТ000057421</t>
  </si>
  <si>
    <t>Светильник настольный LED 2.0Вт 3 режима пенал белый, ночник,подст.под телефон. аккум.+USB</t>
  </si>
  <si>
    <t>УТ000051263</t>
  </si>
  <si>
    <t>Светильник настольный под лампу E27 на основании + струбцина  белый SmartBuy (SBL-DL-E27-w)</t>
  </si>
  <si>
    <t>УТ000051264</t>
  </si>
  <si>
    <t>Светильник настольный под лампу E27 на основании + струбцина  черный SmartBuy (SBL-DL-E27-b)</t>
  </si>
  <si>
    <t>УТ000058840</t>
  </si>
  <si>
    <t>Светильник настольный под лампу E27 на основании + струбцина красный IN HOME СНО 15К</t>
  </si>
  <si>
    <t>УТ000058841</t>
  </si>
  <si>
    <t>Светильник настольный под лампу E27 на основании + струбцина мятный IN HOME СНО 15М</t>
  </si>
  <si>
    <t>УТ000058842</t>
  </si>
  <si>
    <t>Светильник настольный под лампу E27 на основании + струбцина розовый IN HOME СНО 15Р</t>
  </si>
  <si>
    <t>УТ000058845</t>
  </si>
  <si>
    <t>Светильник настольный под лампу E27 на основании + струбцина фиолетовый IN HOME СНО 15Ф</t>
  </si>
  <si>
    <t>УТ000055943</t>
  </si>
  <si>
    <t>Светильник настольный под лампу E27 на основании белый SmartBuy (SBL-DeskL-White)</t>
  </si>
  <si>
    <t>УТ000051260</t>
  </si>
  <si>
    <t>Светильник настольный под лампу E27 на основании чёрный SmartBuy (SBL-DeskL-Black)</t>
  </si>
  <si>
    <t>УТ000051265</t>
  </si>
  <si>
    <t>Светильник настольный под лампу E27 на струбцине белый SmartBuy (SBL-DLc-E27-w)</t>
  </si>
  <si>
    <t>УТ000051262</t>
  </si>
  <si>
    <t>Светильник настольный под лампу E27 с прищепкой белый SmartBuy (SBL-DeskL01-White)</t>
  </si>
  <si>
    <t>УТ000052139</t>
  </si>
  <si>
    <t>Светильник настольный под лампу E27 с прищепкой розовый SmartBuy (SBL-DeskL01-Pink)</t>
  </si>
  <si>
    <t>УТ000055023</t>
  </si>
  <si>
    <t>Светильник настольный под лампу E27 с прищепкой синий SmartBuy (SBL-DeskL01-Blue)</t>
  </si>
  <si>
    <t>УТ000051261</t>
  </si>
  <si>
    <t>Светильник настольный под лампу E27 с прищепкой чёрный SmartBuy (SBL-DeskL01-Black)</t>
  </si>
  <si>
    <t>УТ000058852</t>
  </si>
  <si>
    <t>Светильник настольный под лампу GX53 с прищепкой красный Ecola (APC53REAY)</t>
  </si>
  <si>
    <t>УТ000054888</t>
  </si>
  <si>
    <t>Светильник настольный светодиодный 7W GX-7073 белый</t>
  </si>
  <si>
    <t xml:space="preserve"> Светильники потолочные</t>
  </si>
  <si>
    <t>УТ000037299</t>
  </si>
  <si>
    <t>Светильник светодиодный 10Вт потолочный SmartBuy (SBL-White-10-Wt-6K)</t>
  </si>
  <si>
    <t>УТ000038203</t>
  </si>
  <si>
    <t>Светильник светодиодный 10Вт потолочный SmartBuy Cube (SBL-Cube-10-W-6K)</t>
  </si>
  <si>
    <t>УТ000025013</t>
  </si>
  <si>
    <t>Светильник светодиодный 10Вт потолочный SmartBuy Mood (SBL-MD-10-W-6K)</t>
  </si>
  <si>
    <t>УТ000038204</t>
  </si>
  <si>
    <t>Светильник светодиодный 10Вт потолочный SmartBuy Ring (SBL-Ring-10-W-6K)</t>
  </si>
  <si>
    <t>УТ000053706</t>
  </si>
  <si>
    <t>Светильник светодиодный 12W  SP-FCL SM12W Спутник</t>
  </si>
  <si>
    <t>УТ000044798</t>
  </si>
  <si>
    <t>Светильник светодиодный 14Вт потолочный SmartBuy Clock (SBL-Clock-14-W-6K)</t>
  </si>
  <si>
    <t>УТ000038205</t>
  </si>
  <si>
    <t>Светильник светодиодный 14Вт потолочный SmartBuy Cube (SBL-Cube-14-W-6K)</t>
  </si>
  <si>
    <t>УТ000038206</t>
  </si>
  <si>
    <t>Светильник светодиодный 14Вт потолочный SmartBuy Ring (SBL-Ring-14-W-6K)</t>
  </si>
  <si>
    <t>УТ000037762</t>
  </si>
  <si>
    <t>Светильник светодиодный 14Вт потолочный SmartBuy Wt (SBL-White-14-Wt-6K)</t>
  </si>
  <si>
    <t>УТ000053687</t>
  </si>
  <si>
    <t>Светильник светодиодный 18W SP-FCL AF18W Спутник</t>
  </si>
  <si>
    <t>УТ000053696</t>
  </si>
  <si>
    <t>Светильник светодиодный 18W SP-FCL AV18W Спутник</t>
  </si>
  <si>
    <t>УТ000053707</t>
  </si>
  <si>
    <t>Светильник светодиодный 18W SP-FCL SM18W Спутник</t>
  </si>
  <si>
    <t>УТ000045860</t>
  </si>
  <si>
    <t>Светильник светодиодный 20Вт потолочный SmartBuy Clock (SBL-Clock-20-W-6K)</t>
  </si>
  <si>
    <t>УТ000025014</t>
  </si>
  <si>
    <t>Светильник светодиодный 20Вт потолочный SmartBuy Cube (SBL-Cube-20-W-6K)</t>
  </si>
  <si>
    <t>УТ000045275</t>
  </si>
  <si>
    <t>Светильник светодиодный 20Вт потолочный SmartBuy Diamond (SBL-Dmd-20-W-6K)</t>
  </si>
  <si>
    <t>УТ000045276</t>
  </si>
  <si>
    <t>Светильник светодиодный 20Вт потолочный SmartBuy Line (SBL-Line-20-W-6K)</t>
  </si>
  <si>
    <t>УТ000045277</t>
  </si>
  <si>
    <t>Светильник светодиодный 20Вт потолочный SmartBuy Loongo (SBL-Lng-20-W-6K)</t>
  </si>
  <si>
    <t>УТ000038202</t>
  </si>
  <si>
    <t>Светильник светодиодный 20Вт потолочный SmartBuy Mood (SBL-MD-20-W-6K)</t>
  </si>
  <si>
    <t>УТ000038208</t>
  </si>
  <si>
    <t>Светильник светодиодный 20Вт потолочный SmartBuy Ring (SBL-Ring-20-W-6K)</t>
  </si>
  <si>
    <t>УТ000037763</t>
  </si>
  <si>
    <t>Светильник светодиодный 20Вт потолочный SmartBuy Wt (SBL-White-20-Wt-6K)</t>
  </si>
  <si>
    <t>УТ000047817</t>
  </si>
  <si>
    <t>Светильник светодиодный 25Вт потолочный SmartBuy Cube (SBL-Cube-25-W-6K)</t>
  </si>
  <si>
    <t>УТ000045279</t>
  </si>
  <si>
    <t>Светильник светодиодный 25Вт потолочный SmartBuy Diamond (SBL-Dmd-25-W-6K)</t>
  </si>
  <si>
    <t>УТ000045281</t>
  </si>
  <si>
    <t>Светильник светодиодный 25Вт потолочный SmartBuy Loongo (SBL-Lng-25-W-6K)</t>
  </si>
  <si>
    <t>УТ000047815</t>
  </si>
  <si>
    <t>Светильник светодиодный 25Вт потолочный SmartBuy Mood (SBL-MD-25-W-6K)</t>
  </si>
  <si>
    <t>УТ000049251</t>
  </si>
  <si>
    <t>Светильник светодиодный 25Вт потолочный SmartBuy Ring (SBL-Ring-25-W-6K)</t>
  </si>
  <si>
    <t>УТ000053685</t>
  </si>
  <si>
    <t>Светильник светодиодный 30W SP-FCL AC30W Спутник</t>
  </si>
  <si>
    <t>УТ000053709</t>
  </si>
  <si>
    <t>Светильник светодиодный 30W SP-FCL SM30W Спутник</t>
  </si>
  <si>
    <t>УТ000044800</t>
  </si>
  <si>
    <t>Светильник светодиодный 35Вт потолочный SmartBuy Clock (SBL-Clock-35-W-6K)</t>
  </si>
  <si>
    <t>УТ000047818</t>
  </si>
  <si>
    <t>Светильник светодиодный 35Вт потолочный SmartBuy Cube (SBL-Cube-35-W-6K)</t>
  </si>
  <si>
    <t>УТ000044803</t>
  </si>
  <si>
    <t>Светильник светодиодный 35Вт потолочный SmartBuy Loongo (SBL-Lng-35-W-6K)</t>
  </si>
  <si>
    <t>УТ000047816</t>
  </si>
  <si>
    <t>Светильник светодиодный 35Вт потолочный SmartBuy Mood (SBL-MD-35-W-6K)</t>
  </si>
  <si>
    <t xml:space="preserve"> Светильники потолочные, крепление на зажимные пружины</t>
  </si>
  <si>
    <t>УТ000051399</t>
  </si>
  <si>
    <t>Встраиваемый (LED) светильник, квадрат  3w/4000K/IP20 DL Smartbuy Square (SBL-DLSq-3-4K)</t>
  </si>
  <si>
    <t>00410057947</t>
  </si>
  <si>
    <t>Встраиваемый (LED) светильник, квадрат  3w/6500K/IP20 DL Smartbuy Square (SBL-DLSq-3-65K)</t>
  </si>
  <si>
    <t>УТ000054070</t>
  </si>
  <si>
    <t>Встраиваемый (LED) светильник, квадрат  6w/4000K/IP20 DL Smartbuy Square (SBL-DLSq-6-4K)</t>
  </si>
  <si>
    <t>УТ000056225</t>
  </si>
  <si>
    <t>Встраиваемый (LED) светильник, квадрат  6w/6500K/IP20 DL Smartbuy Square (SBL-DLSq-6-65K)</t>
  </si>
  <si>
    <t>УТ000055300</t>
  </si>
  <si>
    <t>Встраиваемый (LED) светильник, квадрат  9w/4000K/IP20 DL Smartbuy Square (SBL-DLSq-9-4K)</t>
  </si>
  <si>
    <t>УТ000052729</t>
  </si>
  <si>
    <t>Встраиваемый (LED) светильник, квадрат 12w/4000K/IP20 DL Smartbuy Square (SBL-DLSq-12-4K)</t>
  </si>
  <si>
    <t>УТ000050771</t>
  </si>
  <si>
    <t>Встраиваемый (LED) светильник, круг  3w/4000K/IP40 DL Smartbuy (SBL-DL-3-4K)</t>
  </si>
  <si>
    <t>УТ000057083</t>
  </si>
  <si>
    <t>Встраиваемый (LED) светильник, круг  3w/6500K/IP40 DL Smartbuy (SBL-DL-3-65K)</t>
  </si>
  <si>
    <t>УТ000057085</t>
  </si>
  <si>
    <t>Встраиваемый (LED) светильник, круг  6w/4000K/IP40 DL Smartbuy (SBL-DL-6-4K)</t>
  </si>
  <si>
    <t>УТ000054553</t>
  </si>
  <si>
    <t>Встраиваемый (LED) светильник, круг  6w/6500K/IP40 DL Smartbuy (SBL-DL-6-65K)</t>
  </si>
  <si>
    <t>УТ000058233</t>
  </si>
  <si>
    <t>Встраиваемый (LED) светильник, круг  9w/4000K/IP40 DL Smartbuy (SBL-DL-9-4K)</t>
  </si>
  <si>
    <t>УТ000058234</t>
  </si>
  <si>
    <t>Встраиваемый (LED) светильник, круг  9w/6500K/IP40 DL Smartbuy (SBL-DL-9-65K)</t>
  </si>
  <si>
    <t>УТ000058231</t>
  </si>
  <si>
    <t>Встраиваемый (LED) светильник, круг 12w/4000K/IP40 DL Smartbuy (SBL-DL-12-4K)</t>
  </si>
  <si>
    <t>УТ000058232</t>
  </si>
  <si>
    <t>Встраиваемый (LED) светильник, круг 12w/6500K/IP40 DL Smartbuy (SBL-DL-12-65K)</t>
  </si>
  <si>
    <t>УТ000056191</t>
  </si>
  <si>
    <t>Встраиваемый (LED) светильник, круг 18w/4000K/IP40 DL Smartbuy (SBL-DL-18-4K)</t>
  </si>
  <si>
    <t>УТ000057082</t>
  </si>
  <si>
    <t>Встраиваемый (LED) светильник, круг 18w/6500K/IP40 DL Smartbuy (SBL-DL-18-65K)</t>
  </si>
  <si>
    <t>УТ000055833</t>
  </si>
  <si>
    <t>Встраиваемый (LED) светильник, круг 24w/4000K/IP40 DL Smartbuy (SBL-DL-24-4K)</t>
  </si>
  <si>
    <t>УТ000049720</t>
  </si>
  <si>
    <t>Светильник светодиодный безрамочный квадрат  9Вт, 4000K (SBL-BDLS-9-4K)</t>
  </si>
  <si>
    <t>УТ000053077</t>
  </si>
  <si>
    <t>Светильник светодиодный безрамочный квадрат  9Вт, 6500K (SBL-BDLS-9-65K)</t>
  </si>
  <si>
    <t>УТ000049717</t>
  </si>
  <si>
    <t>Светильник светодиодный безрамочный квадрат 18Вт, 4000K (SBL-BDLS-18-4K)</t>
  </si>
  <si>
    <t>УТ000053073</t>
  </si>
  <si>
    <t>Светильник светодиодный безрамочный квадрат 18Вт, 6500K (SBL-BDLS-18-65K)</t>
  </si>
  <si>
    <t>УТ000049718</t>
  </si>
  <si>
    <t>Светильник светодиодный безрамочный квадрат 24Вт, 4000K (SBL-BDLS-24-4K)</t>
  </si>
  <si>
    <t>УТ000053074</t>
  </si>
  <si>
    <t>Светильник светодиодный безрамочный квадрат 24Вт, 6500K (SBL-BDLS-24-65K)</t>
  </si>
  <si>
    <t>УТ000049719</t>
  </si>
  <si>
    <t>Светильник светодиодный безрамочный квадрат 36Вт, 4000K (SBL-BDLS-36-4K)</t>
  </si>
  <si>
    <t>УТ000053075</t>
  </si>
  <si>
    <t>Светильник светодиодный безрамочный квадрат 36Вт, 6500K (SBL-BDLS-36-65K)</t>
  </si>
  <si>
    <t>УТ000049716</t>
  </si>
  <si>
    <t>Светильник светодиодный безрамочный круг  9Вт, 4000K (SBL-BDL-9-4K)</t>
  </si>
  <si>
    <t>УТ000053072</t>
  </si>
  <si>
    <t>Светильник светодиодный безрамочный круг  9Вт, 6500K (SBL-BDL-9-65K)</t>
  </si>
  <si>
    <t>УТ000049715</t>
  </si>
  <si>
    <t>Светильник светодиодный безрамочный круг 24Вт, 4000K (SBL-BDL-24-4K)</t>
  </si>
  <si>
    <t>УТ000053068</t>
  </si>
  <si>
    <t>Светильник светодиодный безрамочный круг 24Вт, 6500K (SBL-BDL-24-65K)</t>
  </si>
  <si>
    <t>УТ000053070</t>
  </si>
  <si>
    <t>Светильник светодиодный безрамочный круг 36Вт, 4000K (SBL-BDL-36-4K)</t>
  </si>
  <si>
    <t>УТ000053071</t>
  </si>
  <si>
    <t>Светильник светодиодный безрамочный круг 36Вт, 6500K (SBL-BDL-36-65K)</t>
  </si>
  <si>
    <t xml:space="preserve"> Светильники прочее</t>
  </si>
  <si>
    <t>УТ000055724</t>
  </si>
  <si>
    <t>Подвесной светильник F2 LED DREAM</t>
  </si>
  <si>
    <t xml:space="preserve"> Светильники термо, влагозащитные, банные</t>
  </si>
  <si>
    <t>УТ000056305</t>
  </si>
  <si>
    <t>Светильник для бани и сауны, IP65, Е27, 220В, 60Вт (-45C / +125C) УХЛ1 белый, инд.упаковка</t>
  </si>
  <si>
    <t>УТ000058029</t>
  </si>
  <si>
    <t>Светильник для бани и сауны, IP65, Е27, 220В, 60Вт (-45C / +125C), угловой УХЛ1 белый, инд. упаковка</t>
  </si>
  <si>
    <t>УТ000056342</t>
  </si>
  <si>
    <t>Светильник ЖКХ для влажных помещений, овал, 100Вт, УХЛ1 IP54, инд. упаковка</t>
  </si>
  <si>
    <t>УТ000058771</t>
  </si>
  <si>
    <t>Светильник ЖКХ для влажных помещений, овал, 60Вт, УХЛ1 IP54 инд. упаковка</t>
  </si>
  <si>
    <t xml:space="preserve"> Светильники точечные</t>
  </si>
  <si>
    <t>УТ000050500</t>
  </si>
  <si>
    <t>Светильник встраиваемый под лампу MR16 выпуклый, золото (SBL-08GD-MR16)</t>
  </si>
  <si>
    <t>УТ000050501</t>
  </si>
  <si>
    <t>Светильник встраиваемый под лампу MR16 выпуклый, никель (SBL-08NC-MR16)</t>
  </si>
  <si>
    <t>УТ000055030</t>
  </si>
  <si>
    <t>Светильник встраиваемый под лампу MR16, белый (SBL-03WH-MR16)</t>
  </si>
  <si>
    <t>УТ000055033</t>
  </si>
  <si>
    <t>Светильник встраиваемый под лампу MR16, белый, плоский  (SBL-07WH-MR16)</t>
  </si>
  <si>
    <t>УТ000055035</t>
  </si>
  <si>
    <t>Светильник встраиваемый под лампу MR16, белый, плоский  (SBL-08WH-MR16)</t>
  </si>
  <si>
    <t>УТ000055032</t>
  </si>
  <si>
    <t>Светильник встраиваемый под лампу MR16, золото, плоский  (SBL-07GD-MR16)</t>
  </si>
  <si>
    <t>УТ000055034</t>
  </si>
  <si>
    <t>Светильник встраиваемый под лампу MR16, никель, плоский  (SBL-07NC-MR16)</t>
  </si>
  <si>
    <t>УТ000055036</t>
  </si>
  <si>
    <t>Светильник встраиваемый под лампу MR16, серебро, плоский  (SBL-07SL-MR16)</t>
  </si>
  <si>
    <t xml:space="preserve"> Светодиодные офисные, амстронг</t>
  </si>
  <si>
    <t>УТ000041364</t>
  </si>
  <si>
    <t>Панель светодиодная 36W SmartBuy UniMat (SBL-Uni-36W-65K)</t>
  </si>
  <si>
    <t xml:space="preserve"> Стикерные светильники, магнит, скотч</t>
  </si>
  <si>
    <t>УТ000020702</t>
  </si>
  <si>
    <t>Светодиодный Led светильник YY-802 на липучке, 3W, 3AAA 45348</t>
  </si>
  <si>
    <t>УТ000045862</t>
  </si>
  <si>
    <t>Светодиодный фонарь Smartbuy 3ВТ, 3AАА, черный (SBF-133-B)</t>
  </si>
  <si>
    <t>УТ000052086</t>
  </si>
  <si>
    <t>Светодиодный фонарь с датчиком движения и света 6 LED Smartbuy 3*AAA, белый (SBF-6-K)</t>
  </si>
  <si>
    <t>УТ000033252</t>
  </si>
  <si>
    <t>Фонарь PV 801 COB белый</t>
  </si>
  <si>
    <t xml:space="preserve"> Светильники уличные</t>
  </si>
  <si>
    <t xml:space="preserve"> Прожектора</t>
  </si>
  <si>
    <t xml:space="preserve"> Прожектора светодиодные</t>
  </si>
  <si>
    <t>УТ000056681</t>
  </si>
  <si>
    <t>Прожектор светодиодный 100Вт 6400K 9500Лм IP65 черный Feron</t>
  </si>
  <si>
    <t>УТ000038298</t>
  </si>
  <si>
    <t>Прожектор светодиодный 100Вт 6500K IP65 чёрный General 403114</t>
  </si>
  <si>
    <t>УТ000056670</t>
  </si>
  <si>
    <t>Прожектор светодиодный 10Вт 6400K 800Лм IP65 белый Feron</t>
  </si>
  <si>
    <t>УТ000008734</t>
  </si>
  <si>
    <t>Прожектор светодиодный 10Вт 6400K 800Лм IP65 чёрный Feron</t>
  </si>
  <si>
    <t>УТ000038292</t>
  </si>
  <si>
    <t>Прожектор светодиодный 10Вт 6500K 860Лм IP65 белый General</t>
  </si>
  <si>
    <t>УТ000035998</t>
  </si>
  <si>
    <t>Прожектор светодиодный 10Вт 6500K 860Лм IP65 черный  General с сенсором освещения</t>
  </si>
  <si>
    <t>УТ000012907</t>
  </si>
  <si>
    <t>Прожектор светодиодный 10Вт 6500K IP65 SmartBuy FL Sensor (SBL-FLSen-10-65K)</t>
  </si>
  <si>
    <t>УТ000039382</t>
  </si>
  <si>
    <t>Прожектор светодиодный 10Вт 6500K IP65 SmartBuy FL SMD White (SBL-FLWhite-10-65K)</t>
  </si>
  <si>
    <t>УТ000056682</t>
  </si>
  <si>
    <t>Прожектор светодиодный 150Вт 6400K 14250Лм IP65 черный Feron</t>
  </si>
  <si>
    <t>УТ000056684</t>
  </si>
  <si>
    <t>Прожектор светодиодный 200Вт 6400K 19000Лм IP65 черный Feron</t>
  </si>
  <si>
    <t>УТ000017857</t>
  </si>
  <si>
    <t>Прожектор светодиодный 20Вт 6400K 1900Лм IP65 белый Feron</t>
  </si>
  <si>
    <t>УТ000017856</t>
  </si>
  <si>
    <t>Прожектор светодиодный 20Вт 6400K 1900Лм IP65 чёрный Feron</t>
  </si>
  <si>
    <t>УТ000038290</t>
  </si>
  <si>
    <t>Прожектор светодиодный 20Вт 6500K IP65 белый General 403125</t>
  </si>
  <si>
    <t>УТ000030611</t>
  </si>
  <si>
    <t>Прожектор светодиодный 20Вт 6500K IP65 черный  General с сенсором освещения</t>
  </si>
  <si>
    <t>УТ000056721</t>
  </si>
  <si>
    <t>Прожектор светодиодный 20Вт 6500K IP65 черный с ИК датчиком движения General 403133</t>
  </si>
  <si>
    <t>УТ000017870</t>
  </si>
  <si>
    <t>Прожектор светодиодный 30Вт 6400K 2400Лм IP65 белый Feron</t>
  </si>
  <si>
    <t>УТ000000084</t>
  </si>
  <si>
    <t>Прожектор светодиодный 30Вт 6400K 2400Лм IP65 чёрный Feron</t>
  </si>
  <si>
    <t>УТ000057916</t>
  </si>
  <si>
    <t>Прожектор светодиодный 30Вт 6500K IP65 с ИК датчиком движения General</t>
  </si>
  <si>
    <t>УТ000017863</t>
  </si>
  <si>
    <t>Прожектор светодиодный 50Вт 4000K 4000Лм IP65 чёрный Feron</t>
  </si>
  <si>
    <t>УТ000000811</t>
  </si>
  <si>
    <t>Прожектор светодиодный 50Вт 6400K 4000Лм IP65 белый Feron</t>
  </si>
  <si>
    <t>УТ000057915</t>
  </si>
  <si>
    <t>Прожектор светодиодный 50Вт 6500K IP65 с ИК датчиком движения General</t>
  </si>
  <si>
    <t>УТ000038296</t>
  </si>
  <si>
    <t>Прожектор светодиодный 50Вт 6500K IP65 чёрный General</t>
  </si>
  <si>
    <t>УТ000056680</t>
  </si>
  <si>
    <t>Прожектор светодиодный 70Вт 6400K 6300Лм IP65 чёрный Feron</t>
  </si>
  <si>
    <t>УТ000048213</t>
  </si>
  <si>
    <t>Прожектор светодиодный 70Вт 6500K IP65 черный с датчиком движения GENERAL 510473</t>
  </si>
  <si>
    <t xml:space="preserve"> Светильники на солнечной батарее</t>
  </si>
  <si>
    <t>УТ000054887</t>
  </si>
  <si>
    <t>Светильник на солнечной батарее SH-52 1COB 6LED IP20  с датчиком света 3 режима</t>
  </si>
  <si>
    <t>УТ000056828</t>
  </si>
  <si>
    <t>Светильник светодиодный SmartBuy 10 Вт COB, на солнечных батареях, с датчиком движения, чёрный (SBF-22-MS)</t>
  </si>
  <si>
    <t>УТ000043515</t>
  </si>
  <si>
    <t>Светильник светодиодный SmartBuy 12Вт 100LED на солнечных батареях, датчик движения (SBF-33-MS)</t>
  </si>
  <si>
    <t>УТ000058021</t>
  </si>
  <si>
    <t>Светильник уличный с датчиком движения Solar Powered Led Wall Light JY-6009</t>
  </si>
  <si>
    <t xml:space="preserve"> Светодиодные ленты, модули, контроллеры, блоки питания</t>
  </si>
  <si>
    <t xml:space="preserve"> Датчики, сенсоры, регуляторы яркости 12-24В</t>
  </si>
  <si>
    <t>УТ000057486</t>
  </si>
  <si>
    <t>Модуль выключателя, датчик движения, 12-24В 5А, дальность 2м</t>
  </si>
  <si>
    <t>УТ000057571</t>
  </si>
  <si>
    <t>Модуль выключателя, на взмах, регулировка яркости 12-24В 5А, растояние 8см</t>
  </si>
  <si>
    <t>УТ000056835</t>
  </si>
  <si>
    <t>Регулятор яркости для светодиодных лент, диммер 12В / 24В 8А</t>
  </si>
  <si>
    <t>УТ000054016</t>
  </si>
  <si>
    <t>Регулятор яркости для светодиодных лент, диммер 12В /24В 30А</t>
  </si>
  <si>
    <t xml:space="preserve"> Профиль для светодиодной ленты</t>
  </si>
  <si>
    <t>УТ000034927</t>
  </si>
  <si>
    <t>Профиль гибкий для светодиодной ленты 17,5х6мм, 2м General GAL-GLS-2000-6-175</t>
  </si>
  <si>
    <t>УТ000034926</t>
  </si>
  <si>
    <t>Профиль для светодиодной ленты 16х12мм, 2м General GAL-GLS-2000-12-16</t>
  </si>
  <si>
    <t>УТ000034928</t>
  </si>
  <si>
    <t>Профиль угловой для светодиодной ленты 16х16мм, 2м General GAL-GLS-2000-16-16</t>
  </si>
  <si>
    <t xml:space="preserve"> Светодиодная лента и комплектующие 12В</t>
  </si>
  <si>
    <t xml:space="preserve"> Блок питания для светодиодной ленты 12В</t>
  </si>
  <si>
    <t>УТ000019916</t>
  </si>
  <si>
    <t>Блок питания для LED ленты 12V   6W 0.5A IP20 Ecola (Китай) B2M006ESB 556518</t>
  </si>
  <si>
    <t>УТ000045953</t>
  </si>
  <si>
    <t>Блок питания для LED ленты 12V  12W 1A IP20 Ecola (Китай) B0L012ESB</t>
  </si>
  <si>
    <t>УТ000019168</t>
  </si>
  <si>
    <t>Блок питания для LED ленты 12V  15W 1.25A  IP20 Ecola (Китай) B2L015ESB 563242</t>
  </si>
  <si>
    <t>УТ000019178</t>
  </si>
  <si>
    <t>Блок питания для LED ленты 12V  25W 2A IP20 Ecola (Китай) B2L025ESB 440709</t>
  </si>
  <si>
    <t>УТ000028805</t>
  </si>
  <si>
    <t>Блок питания для LED ленты 12V  25W 2A IP20 Ecola (Китай) B2T025ESB</t>
  </si>
  <si>
    <t>УТ000045956</t>
  </si>
  <si>
    <t>Блок питания для LED ленты 12V  36W 3A  IP20 Ecola (Китай) B0M036ESB</t>
  </si>
  <si>
    <t>УТ000026073</t>
  </si>
  <si>
    <t>Блок питания для LED ленты 12V  38W 3.15A P20 Ecola (Китай) 80*60*33 (интерьерный) B2L038ESB 440710</t>
  </si>
  <si>
    <t>УТ000045103</t>
  </si>
  <si>
    <t>Блок питания для LED ленты 12V  38W IP20 Ecola (Китай) 262*18*18 интерьерный B2T038ESB</t>
  </si>
  <si>
    <t>УТ000019915</t>
  </si>
  <si>
    <t>Блок питания для LED ленты 12V  60W 5A IP20 Ecola (Китай) B2L060ESB 440711</t>
  </si>
  <si>
    <t>УТ000019910</t>
  </si>
  <si>
    <t>Блок питания для LED ленты 12V  80W 6.5A  IP20 Ecola (Китай) B2L080ESB 496671</t>
  </si>
  <si>
    <t>УТ000010367</t>
  </si>
  <si>
    <t>Блок питания для LED ленты 12V 100W 8.5A  IP20 Ecola (Китай) B2L100ESB 440712</t>
  </si>
  <si>
    <t>УТ000028385</t>
  </si>
  <si>
    <t>Блок питания для LED ленты 12V 200W 16A IP20, Ecola (Китай) B2L200ESB 440714</t>
  </si>
  <si>
    <t>УТ000035987</t>
  </si>
  <si>
    <t>Блок питания для LED ленты 12V 250W 20,8А IP20 интерьерный B2L250ESB</t>
  </si>
  <si>
    <t>УТ000019913</t>
  </si>
  <si>
    <t>Блок питания для LED ленты 12V 400W 33,3A IP53 (вентилятор) Ecola (Китай) B3L400ESB</t>
  </si>
  <si>
    <t>УТ000036438</t>
  </si>
  <si>
    <t>Драйвер (LED) SmartBuy IP67-25W для LED ленты (SBL-IP67-Driver-25W)</t>
  </si>
  <si>
    <t>УТ000036439</t>
  </si>
  <si>
    <t>Драйвер (LED) SmartBuy IP67-40W для LED ленты (SBL-IP67-Driver-40W) 12V</t>
  </si>
  <si>
    <t xml:space="preserve"> Коннекторы для светодиодной ленты 12В</t>
  </si>
  <si>
    <t>УТ000026974</t>
  </si>
  <si>
    <t>Коннектор 15 см питание-зажим 2-х конт SMD3528 SC28C1ESB 440741</t>
  </si>
  <si>
    <t xml:space="preserve"> Контроллер для светодиодной ленты 12В</t>
  </si>
  <si>
    <t>УТ000053547</t>
  </si>
  <si>
    <t>Контроллер для светодиодной ленты RGB 12V 144W 12A c ИК пультом Ecola CRS144ESB</t>
  </si>
  <si>
    <t>УТ000028808</t>
  </si>
  <si>
    <t>Контроллер для светодиодной ленты RGB 12V 216W(24V/432W)18A  (с кольцевым сенсором.,белым радиопультом) Ecola RFC18WESB 601176</t>
  </si>
  <si>
    <t xml:space="preserve"> Светодиодная лента 12В</t>
  </si>
  <si>
    <t>УТ000041310</t>
  </si>
  <si>
    <t>Светодиодная лента SMD 3528, 6000k (IP20, 60 свд/м, 11w/m, 1200Lm, ) Ecola (Китай) 556841</t>
  </si>
  <si>
    <t>УТ000023589</t>
  </si>
  <si>
    <t>Светодиодная лента SMD 3528, белый (IP20, 60 свд/м, 11w/m, 1200Lm, 4K) Ecola (Китай) 556840</t>
  </si>
  <si>
    <t>УТ000041311</t>
  </si>
  <si>
    <t>Светодиодная лента SMD 5050, 6000K (IP20, 60 свд/м, 14.4w/m) "Ecola" 496756</t>
  </si>
  <si>
    <t>УТ000041304</t>
  </si>
  <si>
    <t>Светодиодная лента SMD 5050, 6000K (IP65, 60 свд/м, 14,4w/m) "Ecola" влагозащищённая 600639</t>
  </si>
  <si>
    <t>УТ000034319</t>
  </si>
  <si>
    <t>Светодиодная лента SMD 5050, RGB (IP20, 60 свд/м, 14,4w/m) "Ecola"  440701</t>
  </si>
  <si>
    <t>УТ000028812</t>
  </si>
  <si>
    <t>Светодиодная лента SMD 5050, белый 4200К (IP20, 60 свд/м, 14,4w/m, 840Lm) "Ecola"  440700</t>
  </si>
  <si>
    <t>УТ000040634</t>
  </si>
  <si>
    <t>Светодиодная лента SMD 5050, белый 4200К (IP20, 60 свд/м, 19w/m, 1200Lm) "Ecola"  556514</t>
  </si>
  <si>
    <t>УТ000045106</t>
  </si>
  <si>
    <t>Светодиодная лента SMD 5050, белый дневной (IP65, 60 свд/м, 19w/m, 1200Lm, 6000K) "Ecola" 583626</t>
  </si>
  <si>
    <t>УТ000045105</t>
  </si>
  <si>
    <t>Светодиодная лента SMD 5050, белый холодный (IP65, 60 свд/м, 19w/m, 1200Lm, 4200K) "Ecola" 556516</t>
  </si>
  <si>
    <t>УТ000041306</t>
  </si>
  <si>
    <t>Светодиодная лента SMD 5630, 6000К (IP20, 60 свд/м, 19w/m, 1200Lm) "Ecola"  556515</t>
  </si>
  <si>
    <t xml:space="preserve"> Светодиодная лента и комплектующие 24В</t>
  </si>
  <si>
    <t xml:space="preserve"> Блок питания для светодиодной ленты 24В</t>
  </si>
  <si>
    <t>УТ000019907</t>
  </si>
  <si>
    <t>Блок питания для LED ленты 24V  60W 2.5A IP20 Ecola (Китай) D2L060ESB</t>
  </si>
  <si>
    <t>УТ000019904</t>
  </si>
  <si>
    <t>Блок питания для LED ленты 24V 100W 4A IP20 Ecola (Китай) D2L100ESB 540702</t>
  </si>
  <si>
    <t xml:space="preserve"> Светодиодная лента и комплектующие 5В</t>
  </si>
  <si>
    <t xml:space="preserve"> Блок питания для светодиодной ленты 5В</t>
  </si>
  <si>
    <t>УТ000056901</t>
  </si>
  <si>
    <t>Блок питания для LED ленты 5V  50W 10A IP20 LP550T</t>
  </si>
  <si>
    <t>УТ000056902</t>
  </si>
  <si>
    <t>Блок питания для LED ленты 5V  75W 15A IP20 LP575T</t>
  </si>
  <si>
    <t xml:space="preserve"> Светодиодные модули, для ремонта люстр и светильников</t>
  </si>
  <si>
    <t>УТ000056571</t>
  </si>
  <si>
    <t>Светодиодный (LED) модуль M Smartbuy 12W 4000K (SBL-M-12W-4K)</t>
  </si>
  <si>
    <t>УТ000052312</t>
  </si>
  <si>
    <t>Светодиодный (LED) модуль M Smartbuy 18W 4000K (SBL-M-18W-4K)</t>
  </si>
  <si>
    <t>УТ000058569</t>
  </si>
  <si>
    <t>Светодиодный (LED) модуль M Smartbuy 18W 6500K (SBL-M-18W-65K)</t>
  </si>
  <si>
    <t>УТ000058570</t>
  </si>
  <si>
    <t>Светодиодный (LED) модуль M Smartbuy 24W 4000K (SBL-M-24W-4K)</t>
  </si>
  <si>
    <t>УТ000058571</t>
  </si>
  <si>
    <t>Светодиодный (LED) модуль M Smartbuy 24W 6500K (SBL-M-24W-65K)</t>
  </si>
  <si>
    <t>УТ000052044</t>
  </si>
  <si>
    <t>Светодиодный (LED) модуль M Smartbuy 36W 4000K (SBL-M-36W-4K)</t>
  </si>
  <si>
    <t>УТ000058572</t>
  </si>
  <si>
    <t>Светодиодный (LED) модуль M Smartbuy 36W 6500K (SBL-M-36W-65K)</t>
  </si>
  <si>
    <t>УТ000051455</t>
  </si>
  <si>
    <t>Светодиодный модуль к люстре на магнитах, основа алюминий, в комплекте с блоком питания 120Вт, 3 режима</t>
  </si>
  <si>
    <t>УТ000052239</t>
  </si>
  <si>
    <t>Светодиодный модуль к люстре на магнитах, основа алюминий, в комплекте с блоком питания 48Вт, 3 режима</t>
  </si>
  <si>
    <t>УТ000058604</t>
  </si>
  <si>
    <t>Светодиодный модуль к люстре на магнитах, основа алюминий, в комплекте с блоком питания 72Вт</t>
  </si>
  <si>
    <t>УТ000058876</t>
  </si>
  <si>
    <t>Светодиодный модуль к люстре на магнитах, основа алюминий, в комплекте с блоком питания 72Вт, 3 режима</t>
  </si>
  <si>
    <t>УТ000058789</t>
  </si>
  <si>
    <t>Светодиодный модуль к люстре на магнитах, основа алюминий, в комплекте с блоком питания 96Вт, 3 режима</t>
  </si>
  <si>
    <t xml:space="preserve"> Светодиодные модули, линейки</t>
  </si>
  <si>
    <t>УТ000050738</t>
  </si>
  <si>
    <t>Светодиодная лента неоновая, белый, 12В, 3м</t>
  </si>
  <si>
    <t>УТ000034369</t>
  </si>
  <si>
    <t>Светодиодный модуль SMD 3535 круг, матовый плафон 2W IP65 (10)</t>
  </si>
  <si>
    <t>УТ000034367</t>
  </si>
  <si>
    <t>Светодиодный модуль SMD 5050 круг, 2W IP30 (10)</t>
  </si>
  <si>
    <t>УТ000029297</t>
  </si>
  <si>
    <t>Светодиодный модуль SMD 5050 овал, 2W белый 47627 (10)</t>
  </si>
  <si>
    <t xml:space="preserve"> Светотехника для праздников</t>
  </si>
  <si>
    <t xml:space="preserve"> Гирлянды</t>
  </si>
  <si>
    <t>УТ000057161</t>
  </si>
  <si>
    <t>Гирлянда "Бахрома"  ширина 3м., высота 0,7м.,  120LED, 220V  теплый белый FunRay IC-120W</t>
  </si>
  <si>
    <t>УТ000051700</t>
  </si>
  <si>
    <t>Гирлянда "Бахрома"  ширина 3м., высота 0,7м.,  120LED, 220V Белый FunRay IC-120W</t>
  </si>
  <si>
    <t>УТ000057162</t>
  </si>
  <si>
    <t>Гирлянда "Бахрома"  ширина 3м., высота 0,7м., 120LED, 220V   Белый  FunRay IC-120W</t>
  </si>
  <si>
    <t>УТ000057188</t>
  </si>
  <si>
    <t>Гирлянда "Бахрома" светодиодная, со снежинками, ширина 2м., высота 0,6м., IP20, 100LED, 220V, тёплый белый FunRay</t>
  </si>
  <si>
    <t>УТ000057166</t>
  </si>
  <si>
    <t>Гирлянда "Занавес" светодиодная 2,1*1,5м, 200LED, IP20, тёплый белый, прозрачный шнур 1,5м, 220V, Funray</t>
  </si>
  <si>
    <t>УТ000057165</t>
  </si>
  <si>
    <t>Гирлянда "Занавес" светодиодная 2,1*1,5м, 200LED, IP20, холодный белый, прозрачный шнур 1,5м, 220V, Funray</t>
  </si>
  <si>
    <t>УТ000057167</t>
  </si>
  <si>
    <t>Гирлянда "Занавес" светодиодная 3*2,5м, 320LED, IP20, тёплый белый, прозрачный шнур 2,5м, 220V, Funray</t>
  </si>
  <si>
    <t>УТ000057157</t>
  </si>
  <si>
    <t>Гирлянда "Лучики" светодиодная 10м, 100LED, мульти, IP20, тёмно-зелёный шнур 0,7м, контроллер, 220V Funray</t>
  </si>
  <si>
    <t>УТ000057156</t>
  </si>
  <si>
    <t>Гирлянда "Лучики" светодиодная 5м, 60LED, мульти, IP20, тёмно-зелёный шнур 0,7м, контроллер, 220V Funray</t>
  </si>
  <si>
    <t>УТ000057154</t>
  </si>
  <si>
    <t>Гирлянда "Нить" светодиодная 10м, 100LED, тёплый белый, IP20, серебр. шнур 1,5м, 220V Funray</t>
  </si>
  <si>
    <t>УТ000057155</t>
  </si>
  <si>
    <t>Гирлянда "Нить" светодиодная 10м, 100LED, фиолетовый, IP20, серебр. шнур 1,5м, 220V Funray</t>
  </si>
  <si>
    <t>УТ000057153</t>
  </si>
  <si>
    <t>Гирлянда "Рисовая" светодиодная 10м, 100LED, IP20, мульти, тёмно-зелёный шнур 0,7м, 220V, контроллер Funray</t>
  </si>
  <si>
    <t>УТ000057151</t>
  </si>
  <si>
    <t>Гирлянда "Рисовая" светодиодная 10м, 100LED, IP20, синий, тёмно-зелёный шнур 0,7м, 220V, контроллер Funray</t>
  </si>
  <si>
    <t>УТ000057150</t>
  </si>
  <si>
    <t>Гирлянда "Рисовая" светодиодная 10м, 100LED, IP20, тёплый белый, тёмно-зелёный шнур 0,7м, 220V, контроллер Funray</t>
  </si>
  <si>
    <t>УТ000057152</t>
  </si>
  <si>
    <t>Гирлянда "Рисовая" светодиодная 5м, 40LED, IP20, мульти, тёмно-зелёный шнур 0,7м, 220V, контроллер Funray</t>
  </si>
  <si>
    <t>УТ000057164</t>
  </si>
  <si>
    <t>Гирлянда светодиодная "Сетка" 144LED, 1*1,5м, мульти, IP20, прозрачный шнур 1,5м, контроллер, Funray</t>
  </si>
  <si>
    <t>УТ000057163</t>
  </si>
  <si>
    <t>Гирлянда светодиодная "Сетка" 144LED, 1*1,5м, холодный белый, IP20, прозрачный шнур 1,5м, контроллер, Funray</t>
  </si>
  <si>
    <t>УТ000051786</t>
  </si>
  <si>
    <t>Гирлянда светодиодная "Сетка" 320LED, 3*2м., прозрачный шнур, мульти (ML-320M)</t>
  </si>
  <si>
    <t>УТ000051788</t>
  </si>
  <si>
    <t>Гирлянда светодиодная "Сетка" 320LED, 3*2м., прозрачный шнур, теплый свет (ML-320WW)</t>
  </si>
  <si>
    <t>УТ000051787</t>
  </si>
  <si>
    <t>Гирлянда светодиодная "Сетка" 320LED, 3*2м., прозрачный шнур, холодный свет (ML-320W)</t>
  </si>
  <si>
    <t>УТ000051784</t>
  </si>
  <si>
    <t>Гирлянда светодиодная "Шарики" 100LED, 10м., черный шнур, мульти (BL-10100M)</t>
  </si>
  <si>
    <t>УТ000051785</t>
  </si>
  <si>
    <t>Гирлянда светодиодная "Шарики" 40LED, 5м., черный шнур, мульти (BL-550M)</t>
  </si>
  <si>
    <t>УТ000057193</t>
  </si>
  <si>
    <t>Гирлянда-нить ULD-S1000-100/DTA 100LED тепл.белый 10м., 8 реж., прозр.провод IP20 Uniel</t>
  </si>
  <si>
    <t>УТ000057733</t>
  </si>
  <si>
    <t>Гирлянда-штора с крючком 300LED, 3*3м, USB, мультицвет Огонёк OG-LDG22</t>
  </si>
  <si>
    <t>УТ000051753</t>
  </si>
  <si>
    <t>Удлинитель для гирлянд, прозрачный, 10м</t>
  </si>
  <si>
    <t>УТ000047400</t>
  </si>
  <si>
    <t>Удлинитель для гирлянд, прозрачный, 5м</t>
  </si>
  <si>
    <t>УТ000051754</t>
  </si>
  <si>
    <t>Удлинитель для гирлянд, прозрачный, 5м OT-ELE02</t>
  </si>
  <si>
    <t xml:space="preserve"> Лазерные установки</t>
  </si>
  <si>
    <t>УТ000028427</t>
  </si>
  <si>
    <t>Лазер-указка, зеленый свет,4 насадки, питание - 2*ААА</t>
  </si>
  <si>
    <t>УТ000049354</t>
  </si>
  <si>
    <t>Лазерная установка B52 Waterfall 220В 5цв свечения с пультом</t>
  </si>
  <si>
    <t>УТ000052362</t>
  </si>
  <si>
    <t>Лазерный проектор "Звездное небо"</t>
  </si>
  <si>
    <t>УТ000047284</t>
  </si>
  <si>
    <t>Световая установка 11, зеленый</t>
  </si>
  <si>
    <t>УТ000047287</t>
  </si>
  <si>
    <t>УТ000049483</t>
  </si>
  <si>
    <t>Световая установка 14</t>
  </si>
  <si>
    <t>УТ000049482</t>
  </si>
  <si>
    <t>Световая установка OG-LDS05, синий</t>
  </si>
  <si>
    <t>УТ000049484</t>
  </si>
  <si>
    <t>Световая установка OG-LDS07, синий</t>
  </si>
  <si>
    <t>УТ000052266</t>
  </si>
  <si>
    <t>Световая установка OG-LDS07, черный</t>
  </si>
  <si>
    <t xml:space="preserve"> Световые установки</t>
  </si>
  <si>
    <t>УТ000057740</t>
  </si>
  <si>
    <t>УТ000057741</t>
  </si>
  <si>
    <t>УТ000057742</t>
  </si>
  <si>
    <t>УТ000057743</t>
  </si>
  <si>
    <t>УТ000057178</t>
  </si>
  <si>
    <t>Светодиодная система "Макушка на ель" B52, 10LED, 2*AA,  красный</t>
  </si>
  <si>
    <t xml:space="preserve"> Световые фигуры</t>
  </si>
  <si>
    <t>УТ000013531</t>
  </si>
  <si>
    <t>Украшение на стену-Дед Мороз-гирлянда (Е09) (``)</t>
  </si>
  <si>
    <t xml:space="preserve"> Управление освещением</t>
  </si>
  <si>
    <t xml:space="preserve"> Датчики движения</t>
  </si>
  <si>
    <t>УТ000051864</t>
  </si>
  <si>
    <t>Датчик движения встраиваемый в стену 500Вт 6м IP20 с датчиком звука Smartbuy sbl-ms-014</t>
  </si>
  <si>
    <t>УТ000034762</t>
  </si>
  <si>
    <t>Датчик движения встраиваемый в стену 500Вт 9м IP20 с датчиком звука Smartbuy sbl-ms-003</t>
  </si>
  <si>
    <t>УТ000020087</t>
  </si>
  <si>
    <t>Датчик движения инфракрасный в патрон E27 360* 60Вт 6м IP20 SmartBuy SBL-MS-010</t>
  </si>
  <si>
    <t>УТ000034761</t>
  </si>
  <si>
    <t>Датчик движения инфракрасный встраиваемый 1200Вт 6м IP20 SmartBuy SBL-MS-017</t>
  </si>
  <si>
    <t>УТ000036027</t>
  </si>
  <si>
    <t>Датчик движения инфракрасный настенный 1200Вт 12м IP44 SmartBuy SBL-MS-005</t>
  </si>
  <si>
    <t>УТ000020088</t>
  </si>
  <si>
    <t>Датчик движения инфракрасный настенный 1200Вт, до 12м, IP44 SmartBuy SBL-MS-008</t>
  </si>
  <si>
    <t>УТ000020089</t>
  </si>
  <si>
    <t>Датчик движения инфракрасный настенный 1200Вт, до 12м, IP44 SmartBuy SBL-MS-009</t>
  </si>
  <si>
    <t>УТ000036028</t>
  </si>
  <si>
    <t>Датчик движения инфракрасный настенный 800Вт 12м IP44 SmartBuy SBL-MS-007</t>
  </si>
  <si>
    <t>УТ000020090</t>
  </si>
  <si>
    <t>Датчик движения инфракрасный потолочный 1200Вт 6м IP33 SmartBuy SBL-MS-011</t>
  </si>
  <si>
    <t>УТ000020091</t>
  </si>
  <si>
    <t>Датчик движения инфракрасный потолочный 1200Вт 8м IP33 SmartBuy SBL-MS-024</t>
  </si>
  <si>
    <t>УТ000034763</t>
  </si>
  <si>
    <t>Датчик движения инфракрасный потолочный 800Вт 4м IP20 Smartbuy sbl-ms-012</t>
  </si>
  <si>
    <t xml:space="preserve"> Дистанционное управления нагрузкой</t>
  </si>
  <si>
    <t>УТ000050944</t>
  </si>
  <si>
    <t>Комплект для беспроводного управления освещением 2 канал CRAUNOT 37237</t>
  </si>
  <si>
    <t>УТ000050945</t>
  </si>
  <si>
    <t>Комплект для беспроводного управления освещением 2 канала CRAUNOT 31391</t>
  </si>
  <si>
    <t xml:space="preserve"> Фотореле</t>
  </si>
  <si>
    <t>УТ000020643</t>
  </si>
  <si>
    <t>Фотореле Smartbuy,  6A (1400Вт) IP44 (SBL-FR-600)</t>
  </si>
  <si>
    <t>УТ000020641</t>
  </si>
  <si>
    <t>Фотореле Smartbuy, 10A (2200Вт) IP44 (SBL-FR-601)</t>
  </si>
  <si>
    <t>УТ000020642</t>
  </si>
  <si>
    <t>Фотореле Smartbuy, 20A (4400Вт) IP44 (SBL-FR-602)</t>
  </si>
  <si>
    <t xml:space="preserve"> Фито светильники, лампы для растений, саженцев</t>
  </si>
  <si>
    <t xml:space="preserve"> Фито лампы</t>
  </si>
  <si>
    <t>УТ000010287</t>
  </si>
  <si>
    <t>Лампа ИКЗК R127 E27 250W инфракрасная зеркальная для обогрева растений и животных</t>
  </si>
  <si>
    <t>УТ000036867</t>
  </si>
  <si>
    <t>Лампа светодиодная ФИТО E27, 17W для растений SmartBuy (SBL-A80-17-fito-E27)</t>
  </si>
  <si>
    <t xml:space="preserve"> Фито прожекторы</t>
  </si>
  <si>
    <t>УТ000047813</t>
  </si>
  <si>
    <t>Прожектор светодиодный 30W, 1300K IP65 SmartBuy FL ФИТО (SBL-FLFITO-30-65K)</t>
  </si>
  <si>
    <t>УТ000047814</t>
  </si>
  <si>
    <t>Прожектор светодиодный 50W, 1300K IP65 SmartBuy FL ФИТО (SBL-FLFITO-50-65K)</t>
  </si>
  <si>
    <t xml:space="preserve"> Фито светильники</t>
  </si>
  <si>
    <t>УТ000043551</t>
  </si>
  <si>
    <t>Таймер с вилкой и разъемом L,N для фито свет-ков 220V 150W, провод 2м UST-E32 WHITE 2M Uniel</t>
  </si>
  <si>
    <t>УТ000043552</t>
  </si>
  <si>
    <t>Таймер с вилкой и разъемом L,N,G для фитосвет-ков 220V 150W, провод 2м UST-E33 WHITE 2M Uniel</t>
  </si>
  <si>
    <t xml:space="preserve"> Расходные материалы</t>
  </si>
  <si>
    <t xml:space="preserve"> Автомобильные сервисные средства</t>
  </si>
  <si>
    <t xml:space="preserve"> Антизапотеватели, незамерзающие жидкости</t>
  </si>
  <si>
    <t>УТ000056987</t>
  </si>
  <si>
    <t>Антизапотеватель AVS (средство для предотвращения запотевания стекол и зеркал автомобиля, спрей, 300мл)</t>
  </si>
  <si>
    <t>УТ000057598</t>
  </si>
  <si>
    <t xml:space="preserve"> Быстрый старт</t>
  </si>
  <si>
    <t>УТ000058166</t>
  </si>
  <si>
    <t>Быстрый старт ASTROhim аэрозоль, 335мл.  AC-111</t>
  </si>
  <si>
    <t>УТ000058165</t>
  </si>
  <si>
    <t>Быстрый старт AVS (для бензиновых и дизельных двигателей, аэрозоль, 520мл)</t>
  </si>
  <si>
    <t>УТ000008654</t>
  </si>
  <si>
    <t>УТ000056850</t>
  </si>
  <si>
    <t>Быстрый старт аэрозоль, 250мл</t>
  </si>
  <si>
    <t xml:space="preserve"> Размораживатели для замков</t>
  </si>
  <si>
    <t>УТ000057850</t>
  </si>
  <si>
    <t>Жидкий ключ AVS 520мл аэрозоль с дисульфидом молитбена AVK-837</t>
  </si>
  <si>
    <t>УТ000042909</t>
  </si>
  <si>
    <t>Размораживатель для замков 60мл, флакон 3TON</t>
  </si>
  <si>
    <t>УТ000057851</t>
  </si>
  <si>
    <t>Размораживатель для замков 60мл, флакон с силиконом 3TON</t>
  </si>
  <si>
    <t>УТ000009464</t>
  </si>
  <si>
    <t>Размораживатель замков с силиконом AVS (предотвращает повторное замерзание, вытесняет влагу и защищает от коррозии, тюбик, 60мл)</t>
  </si>
  <si>
    <t xml:space="preserve"> Автомобильные чистящий средсва, очистители</t>
  </si>
  <si>
    <t xml:space="preserve"> Автомобильные очистители двигателя и узлов</t>
  </si>
  <si>
    <t>УТ000053824</t>
  </si>
  <si>
    <t>Очиститель двигателя AutoMobile 440мл</t>
  </si>
  <si>
    <t>УТ000052671</t>
  </si>
  <si>
    <t>Очиститель карбюратора АвтоМастер, 300мл</t>
  </si>
  <si>
    <t>УТ000053826</t>
  </si>
  <si>
    <t>Очиститель тормозов и метал.деталей AutoMobile 440мл</t>
  </si>
  <si>
    <t xml:space="preserve"> Автомобильные очистители кузова</t>
  </si>
  <si>
    <t>УТ000008658</t>
  </si>
  <si>
    <t>Очиститель следов насекомых и битумных пятен AVS (очищает вьевшиеся пятна битума, смолы, почек деревьев, подходит для любых поверхностей, аэрозоль, 335мл)</t>
  </si>
  <si>
    <t xml:space="preserve"> Автомобильные очистители шин и дисков</t>
  </si>
  <si>
    <t>УТ000014521</t>
  </si>
  <si>
    <t>Чернитель (блеск) для шин 520мл (аэрозоль,Астрохим) AVS</t>
  </si>
  <si>
    <t xml:space="preserve"> Очистители ржавчины, антикоррозийная защита</t>
  </si>
  <si>
    <t>УТ000055640</t>
  </si>
  <si>
    <t>Очиститель ржавчины 3TON аэрозоль, 520мл.</t>
  </si>
  <si>
    <t>УТ000055641</t>
  </si>
  <si>
    <t>Очиститель ржавчины AVS аэрозоль, 520мл. AVK-221</t>
  </si>
  <si>
    <t>УТ000055643</t>
  </si>
  <si>
    <t>Очиститель электрических контактов AVS аэрозоль, 210мл  AVK-178</t>
  </si>
  <si>
    <t xml:space="preserve"> Бытовая химия</t>
  </si>
  <si>
    <t>УТ000058912</t>
  </si>
  <si>
    <t>Ацетон технический ПНД 0,5л, "ДПХИ" ГОСТ</t>
  </si>
  <si>
    <t>УТ000058955</t>
  </si>
  <si>
    <t>Керосин осветительный КО-25 ПЭТ 0,5л, "ДПХИ" ТУ</t>
  </si>
  <si>
    <t>УТ000058775</t>
  </si>
  <si>
    <t>Нейтрализатор ржавчины ПЭТ 0,5л, "ДПХИ" ТУ</t>
  </si>
  <si>
    <t xml:space="preserve"> Клей, герметик</t>
  </si>
  <si>
    <t xml:space="preserve"> Герметики</t>
  </si>
  <si>
    <t>УТ000045584</t>
  </si>
  <si>
    <t>Герметик прокладок силиконовый, термостойкий, серый, 50г Akfix HT300</t>
  </si>
  <si>
    <t>УТ000014180</t>
  </si>
  <si>
    <t>Герметик-фиксатор высокотемпературный, анаэробный 6мл. AVS</t>
  </si>
  <si>
    <t xml:space="preserve"> Клеевые пистолеты, принадлежности</t>
  </si>
  <si>
    <t>УТ000057658</t>
  </si>
  <si>
    <t>Кабель VGA-VGA штекер-штекер 3м</t>
  </si>
  <si>
    <t>УТ000057705</t>
  </si>
  <si>
    <t>Клеевой пистолет Помощник PM-ING01 20Вт, 220V, стержни в наборе 7мм</t>
  </si>
  <si>
    <t>УТ000046497</t>
  </si>
  <si>
    <t>Клеевой стержень D-7мм L-250мм X-Pert (10)</t>
  </si>
  <si>
    <t>УТ000004793</t>
  </si>
  <si>
    <t>Клей для клеящего пистолета d=11,2mm L=270mm синий REXANT (10шт)</t>
  </si>
  <si>
    <t>00410058341</t>
  </si>
  <si>
    <t>Клей для клеящего пистолета d=11,2mm L=270mm чёрный REXANT (10шт) 09-1209</t>
  </si>
  <si>
    <t>УТ000059264</t>
  </si>
  <si>
    <t>Клей для клеящего пистолета d=11mm L-100mm цветной 12шт Rexant</t>
  </si>
  <si>
    <t>УТ000001921</t>
  </si>
  <si>
    <t>Клей для клеящего пистолета d=7mm L=195mm черный REXANT (10шт) 09-1104</t>
  </si>
  <si>
    <t>УТ000042147</t>
  </si>
  <si>
    <t>Пистолет клеевой  150W,  HJ019</t>
  </si>
  <si>
    <t>УТ000050302</t>
  </si>
  <si>
    <t>Пистолет клеевой  20Вт с выключателем, X-Pert HJ0120</t>
  </si>
  <si>
    <t>УТ000050296</t>
  </si>
  <si>
    <t>Пистолет клеевой  20Вт с выключателем, X-Pert HL20W</t>
  </si>
  <si>
    <t xml:space="preserve"> Клеи дерево, бумага, ПВА</t>
  </si>
  <si>
    <t>00000003667</t>
  </si>
  <si>
    <t>Клей ПВА "Контакт", 250г, арт. КК 72-250 ПБ</t>
  </si>
  <si>
    <t>00000003666</t>
  </si>
  <si>
    <t>Клей ПВА "Контакт", 60мл, бл., арт. КК 144-Б60 ПВ</t>
  </si>
  <si>
    <t xml:space="preserve"> Клеи для оргстекла, пластика</t>
  </si>
  <si>
    <t>УТ000025797</t>
  </si>
  <si>
    <t>Дихлорэтан 12мл, клей для оргстекла и др.пластм., Connector</t>
  </si>
  <si>
    <t>УТ000025798</t>
  </si>
  <si>
    <t>Дихлорэтан 40мл, клей для оргстекла и др.пластм., Connector</t>
  </si>
  <si>
    <t>УТ000012546</t>
  </si>
  <si>
    <t>Клей Момент 30мл, ПЛАСТИК, оргстекло, полистирол и других видов пластика</t>
  </si>
  <si>
    <t xml:space="preserve"> Клеи моментальное склеивание</t>
  </si>
  <si>
    <t>УТ000034571</t>
  </si>
  <si>
    <t>Клей LEADERS BQ-001, 3гр. BL12</t>
  </si>
  <si>
    <t>УТ000055462</t>
  </si>
  <si>
    <t>Клей LEADERS BQ-030, 3гр. BL12</t>
  </si>
  <si>
    <t>УТ000050842</t>
  </si>
  <si>
    <t>Клей Sticko Plus, 3гр</t>
  </si>
  <si>
    <t>УТ000058327</t>
  </si>
  <si>
    <t>Клей СЕКУНДА, 30мл универсальный BOX10 шоу-бокс кристально-прозрачный</t>
  </si>
  <si>
    <t>УТ000049936</t>
  </si>
  <si>
    <t>Супер-клей Cosmofen 20г шоу-бокс металл, керамика, дерево, пластмасса.</t>
  </si>
  <si>
    <t xml:space="preserve"> Клеи обувные</t>
  </si>
  <si>
    <t>УТ000011728</t>
  </si>
  <si>
    <t>Обувной клей  Момент 30мл, МАРАФОН, кожа, резина, ткань, войлок, пластик, дерево, металл</t>
  </si>
  <si>
    <t xml:space="preserve"> Клеи универсальные</t>
  </si>
  <si>
    <t>УТ000043055</t>
  </si>
  <si>
    <t>Клей T-7000, 15мл</t>
  </si>
  <si>
    <t>УТ000027188</t>
  </si>
  <si>
    <t>Клей герметик B-7000 прозрачный, эластичный 110мл, время схватывания 3-6мин.</t>
  </si>
  <si>
    <t>УТ000052192</t>
  </si>
  <si>
    <t>Клей герметик E-8000 прозрачный, эластичный 110мл, время схватывания 3-6мин.</t>
  </si>
  <si>
    <t>УТ000052194</t>
  </si>
  <si>
    <t>Клей герметик T-7000 черный, эластичный 110мл, время схватывания 3-6мин.</t>
  </si>
  <si>
    <t>УТ000051068</t>
  </si>
  <si>
    <t>Клей герметик T-7000 черный, эластичный 50мл., время схватывания 3-6мин.</t>
  </si>
  <si>
    <t>00000004225</t>
  </si>
  <si>
    <t>Контактный клей КОНТАКТ 30мл, прозрачный, арт. КК 120-030, шоу-бокс</t>
  </si>
  <si>
    <t>УТ000012547</t>
  </si>
  <si>
    <t>Супер-клей МОМЕНТ 30мл, момент-1</t>
  </si>
  <si>
    <t>УТ000011730</t>
  </si>
  <si>
    <t>Универсальный клей Момент 30мл, ГЕЛЬ, мягкий и жесткий ПВХ, оргстекло и др. пластики, дерево, резина, кожа, поролон, фарфор, керамика, металл</t>
  </si>
  <si>
    <t>УТ000011733</t>
  </si>
  <si>
    <t>Универсальный клей Момент 30мл, КРИСТАЛЛ, мягкий и жесткий ПВХ, оргстекло и др. пластики, дерево, резина, кожа, поролон, фарфор, керамика, металл</t>
  </si>
  <si>
    <t>УТ000011732</t>
  </si>
  <si>
    <t>Универсальный клей Момент 88 30мл, особопрочный, резина, кожа, металл, пластик, дерево, ткань, картон, стекло, бетон</t>
  </si>
  <si>
    <t>УТ000056961</t>
  </si>
  <si>
    <t>Универсальный клей СИЛА 30мл, прозрачный SGTB-30</t>
  </si>
  <si>
    <t xml:space="preserve"> Клей эпоксидный, холодная сварка</t>
  </si>
  <si>
    <t>УТ000037170</t>
  </si>
  <si>
    <t>Клей эпоксидный 14мл, двухкомпонентный, серый, POXIPOL 00266</t>
  </si>
  <si>
    <t>УТ000008671</t>
  </si>
  <si>
    <t>Сварка холодная для радиатора и бензобака AVS (для быстрого и надежного ремонта, герметизации радиаторов и бензобаков, блистер, 55г)</t>
  </si>
  <si>
    <t>УТ000058738</t>
  </si>
  <si>
    <t>Сварка холодная универсальная PRO-series 55г.</t>
  </si>
  <si>
    <t xml:space="preserve"> Маркеры</t>
  </si>
  <si>
    <t>00400047474</t>
  </si>
  <si>
    <t>Маркер для CD/DVD VS двухсторонние, в блистере , 4шт.</t>
  </si>
  <si>
    <t>УТ000020373</t>
  </si>
  <si>
    <t>Маркер перманентный черный MK-425 (7мм)</t>
  </si>
  <si>
    <t>УТ000027439</t>
  </si>
  <si>
    <t>Маркер-краска строит. по мет. цв. золото (перед использ. встряхнуть и продавить "перо") 47543</t>
  </si>
  <si>
    <t>УТ000050933</t>
  </si>
  <si>
    <t>Маркер-краска строит. по мет. цв. красный (перед использ. встряхнуть и продавить "перо") 46250</t>
  </si>
  <si>
    <t>УТ000027440</t>
  </si>
  <si>
    <t>Маркер-краска строит. по мет. цв. серебро (перед использ. встряхнуть и продавить "перо") 48249</t>
  </si>
  <si>
    <t>УТ000050934</t>
  </si>
  <si>
    <t>Маркер-краска строит. по мет. цв. синий (перед использ. встряхнуть и продавить "перо") 48248</t>
  </si>
  <si>
    <t>УТ000034570</t>
  </si>
  <si>
    <t>Маркер-краска строит. по мет. цв. черный (перед использ. встряхнуть и продавить "перо")</t>
  </si>
  <si>
    <t xml:space="preserve"> Масла и смазки</t>
  </si>
  <si>
    <t>УТ000046920</t>
  </si>
  <si>
    <t>Масло приборное/бытовое 10мл, Connector</t>
  </si>
  <si>
    <t>УТ000046921</t>
  </si>
  <si>
    <t>Масло силиконовое ПМС-100, 10мл, Connector</t>
  </si>
  <si>
    <t>УТ000046922</t>
  </si>
  <si>
    <t>Масло силиконовое ПМС-200, 10мл, Connector</t>
  </si>
  <si>
    <t>УТ000052085</t>
  </si>
  <si>
    <t>Масло силиконовое ПМС-5, 10мл, Connector</t>
  </si>
  <si>
    <t>УТ000056230</t>
  </si>
  <si>
    <t>Смазка графитовая 520мл, аэрозоль, графитная 3TON</t>
  </si>
  <si>
    <t>УТ000058173</t>
  </si>
  <si>
    <t>Смазка проникающая 210мл аэрозоль RC-40 многофункциональная с трубочкой LAVR</t>
  </si>
  <si>
    <t>УТ000058174</t>
  </si>
  <si>
    <t>Смазка проникающая 335мл аэрозоль термоключ замораживающая</t>
  </si>
  <si>
    <t>УТ000056996</t>
  </si>
  <si>
    <t>Смазка силиконовая 210мл аэрозоль 3TON</t>
  </si>
  <si>
    <t>УТ000051424</t>
  </si>
  <si>
    <t>Смазка силиконовая Автомастер, 300мл</t>
  </si>
  <si>
    <t>00410058414</t>
  </si>
  <si>
    <t>Средство RW-40 (аналог WD-40) 100мл проникающая смазка</t>
  </si>
  <si>
    <t>УТ000024816</t>
  </si>
  <si>
    <t>Средство RW-40 (аналог WD-40) 300мл проникающая смазка</t>
  </si>
  <si>
    <t xml:space="preserve"> Скотчи, ленты</t>
  </si>
  <si>
    <t xml:space="preserve"> Малярная лента</t>
  </si>
  <si>
    <t>УТ000058741</t>
  </si>
  <si>
    <t>Скотч малярный 48*20</t>
  </si>
  <si>
    <t xml:space="preserve"> Скотч двусторонний</t>
  </si>
  <si>
    <t>УТ000051918</t>
  </si>
  <si>
    <t>Скотч двусторонний "3М" 20мм х 5м серый, красная подложка</t>
  </si>
  <si>
    <t>УТ000057854</t>
  </si>
  <si>
    <t>Скотч двусторонний "3М" красный  6мм х 5м</t>
  </si>
  <si>
    <t>УТ000057855</t>
  </si>
  <si>
    <t>Скотч двусторонний "3М" красный  8мм х 5м</t>
  </si>
  <si>
    <t>УТ000058739</t>
  </si>
  <si>
    <t>Скотч двусторонний "3М" красный  9мм х 5м</t>
  </si>
  <si>
    <t>УТ000057856</t>
  </si>
  <si>
    <t>Скотч двусторонний "3М" красный 12мм х 5м</t>
  </si>
  <si>
    <t>УТ000041933</t>
  </si>
  <si>
    <t>Скотч двусторонний "3М" прозрачный  6мм х 5м</t>
  </si>
  <si>
    <t>УТ000041934</t>
  </si>
  <si>
    <t>Скотч двусторонний "3М" прозрачный  8мм х 5м</t>
  </si>
  <si>
    <t>УТ000048799</t>
  </si>
  <si>
    <t>Скотч двусторонний "3М" прозрачный  9мм х 5м</t>
  </si>
  <si>
    <t>УТ000041935</t>
  </si>
  <si>
    <t>Скотч двусторонний "3М" прозрачный 10мм х 5м</t>
  </si>
  <si>
    <t>УТ000041936</t>
  </si>
  <si>
    <t>Скотч двусторонний "3М" прозрачный 12мм х 5м</t>
  </si>
  <si>
    <t>УТ000041937</t>
  </si>
  <si>
    <t>Скотч двусторонний "3М" прозрачный 15мм х 5м</t>
  </si>
  <si>
    <t>УТ000055645</t>
  </si>
  <si>
    <t>Скотч двусторонний "3М" прозрачный 18мм х 5м</t>
  </si>
  <si>
    <t>УТ000041938</t>
  </si>
  <si>
    <t>Скотч двусторонний "3М" прозрачный 20мм х 5м</t>
  </si>
  <si>
    <t>УТ000041939</t>
  </si>
  <si>
    <t>Скотч двусторонний "3М" прозрачный 30мм х 5м</t>
  </si>
  <si>
    <t>УТ000049138</t>
  </si>
  <si>
    <t>Скотч двусторонний 10мм х 5м, красная подложка</t>
  </si>
  <si>
    <t>УТ000054891</t>
  </si>
  <si>
    <t>Скотч двусторонний 12мм х 2м LIT</t>
  </si>
  <si>
    <t>УТ000054892</t>
  </si>
  <si>
    <t>Скотч двусторонний 12мм х 5м LIT</t>
  </si>
  <si>
    <t>УТ000045351</t>
  </si>
  <si>
    <t>Скотч двусторонний 20мм х 5м, красная подложка</t>
  </si>
  <si>
    <t>УТ000054083</t>
  </si>
  <si>
    <t>Скотч двусторонний 22мм х 2м LIT</t>
  </si>
  <si>
    <t>УТ000054894</t>
  </si>
  <si>
    <t>Скотч двусторонний 30мм х 2м LIT</t>
  </si>
  <si>
    <t>УТ000057395</t>
  </si>
  <si>
    <t>Скотч двусторонний 40мм х 5м LIT</t>
  </si>
  <si>
    <t>УТ000011775</t>
  </si>
  <si>
    <t>Скотч двусторонний красный 10мм х 5м, термостойкий</t>
  </si>
  <si>
    <t>УТ000056866</t>
  </si>
  <si>
    <t>Скотч двусторонний красный 14мм х 5м, термостойкий</t>
  </si>
  <si>
    <t>УТ000056867</t>
  </si>
  <si>
    <t>Скотч двусторонний красный 15мм х 5м, термостойкий</t>
  </si>
  <si>
    <t>УТ000057623</t>
  </si>
  <si>
    <t>Скотч двухсторонний прозрачный  5мм х 5м термостойкий New Vision</t>
  </si>
  <si>
    <t>УТ000057625</t>
  </si>
  <si>
    <t>Скотч двухсторонний прозрачный  7мм х 5м термостойкий New Vision</t>
  </si>
  <si>
    <t>УТ000058168</t>
  </si>
  <si>
    <t>Скотч двухсторонний прозрачный  8мм х 5м термостойкий New Vision</t>
  </si>
  <si>
    <t>УТ000057626</t>
  </si>
  <si>
    <t>Скотч двухсторонний прозрачный  9мм х 5м термостойкий New Vision</t>
  </si>
  <si>
    <t>УТ000058169</t>
  </si>
  <si>
    <t>Скотч двухсторонний прозрачный 10мм х 5м термостойкий New Vision</t>
  </si>
  <si>
    <t>УТ000057628</t>
  </si>
  <si>
    <t>Скотч двухсторонний прозрачный 12мм х 5м термостойкий New Vision</t>
  </si>
  <si>
    <t>УТ000058171</t>
  </si>
  <si>
    <t>Скотч двухсторонний прозрачный 20мм х 5м термостойкий New Vision</t>
  </si>
  <si>
    <t xml:space="preserve"> Скотч металлизированный</t>
  </si>
  <si>
    <t>УТ000052327</t>
  </si>
  <si>
    <t>Лента армированная  для труб  X-Pert 100мм*5м, XP-PT1005</t>
  </si>
  <si>
    <t>УТ000058068</t>
  </si>
  <si>
    <t>Лента армированная для труб  X-Pert 50мм*5м, XP-PT505</t>
  </si>
  <si>
    <t>УТ000029722</t>
  </si>
  <si>
    <t>Лента липучка 1м. (20мм)</t>
  </si>
  <si>
    <t>УТ000029723</t>
  </si>
  <si>
    <t>Лента липучка 3м. (20мм)</t>
  </si>
  <si>
    <t>УТ000055498</t>
  </si>
  <si>
    <t>Скотч армированный серый 56х10</t>
  </si>
  <si>
    <t>УТ000054889</t>
  </si>
  <si>
    <t>Скотч армированный СУПЕР 10см 5м бутиловый с алюминиевым покрытием, водостойкий</t>
  </si>
  <si>
    <t>УТ000054890</t>
  </si>
  <si>
    <t>Скотч армированный СУПЕР 5см 5м бутиловый с алюминиевым покрытием, водостойкий</t>
  </si>
  <si>
    <t>УТ000059174</t>
  </si>
  <si>
    <t>Универсальная клеящая фольгированная лента 45мм*26м</t>
  </si>
  <si>
    <t>УТ000059176</t>
  </si>
  <si>
    <t>Универсальная клеящая фольгированная лента 48мм*22м</t>
  </si>
  <si>
    <t>УТ000059177</t>
  </si>
  <si>
    <t>Универсальная клеящая фольгированная лента 55мм*26м</t>
  </si>
  <si>
    <t xml:space="preserve"> Скотч упаковочный</t>
  </si>
  <si>
    <t>УТ000054667</t>
  </si>
  <si>
    <t>Скотч желтый 66*250</t>
  </si>
  <si>
    <t>УТ000055497</t>
  </si>
  <si>
    <t>Скотч прозрачный 56*100</t>
  </si>
  <si>
    <t xml:space="preserve"> Термоскотч</t>
  </si>
  <si>
    <t>УТ000035851</t>
  </si>
  <si>
    <t>Термоскотч односторонний , ширина 10мм, длина 10м</t>
  </si>
  <si>
    <t>УТ000035852</t>
  </si>
  <si>
    <t>Термоскотч односторонний, ширина 20мм, длина 10м</t>
  </si>
  <si>
    <t>УТ000018183</t>
  </si>
  <si>
    <t>Термоскотч односторонний, ширина 5мм, длина 10м</t>
  </si>
  <si>
    <t xml:space="preserve"> ФУМ лента</t>
  </si>
  <si>
    <t>УТ000057387</t>
  </si>
  <si>
    <t>ФУМ лента 19 х 0.020мм х 20м "LIT"</t>
  </si>
  <si>
    <t>УТ000030690</t>
  </si>
  <si>
    <t>ФУМ лента 19 х 0.075мм х 5м 21255</t>
  </si>
  <si>
    <t>УТ000053868</t>
  </si>
  <si>
    <t>Фум лента для газа 19мм, 100м, X-Pert</t>
  </si>
  <si>
    <t>УТ000046019</t>
  </si>
  <si>
    <t>Фум лента для газа 19мм, 15м, X-Pert FL-105</t>
  </si>
  <si>
    <t xml:space="preserve"> Чистящие средства для компьютеров и бытовой техники</t>
  </si>
  <si>
    <t xml:space="preserve"> Очистители пневмотические, балоны с воздухом</t>
  </si>
  <si>
    <t>УТ000052723</t>
  </si>
  <si>
    <t>Пневматический очиститель Defender CLN 30805 Optima для очистки ПК (1000мл)</t>
  </si>
  <si>
    <t xml:space="preserve"> Очистители спреи, обезжириватели универсальные</t>
  </si>
  <si>
    <t>УТ000053827</t>
  </si>
  <si>
    <t>Очиститель монтажной пены Monta 440мл</t>
  </si>
  <si>
    <t>УТ000055372</t>
  </si>
  <si>
    <t>Универсальное мягкое чистящее средство 400мл аэрозоль</t>
  </si>
  <si>
    <t xml:space="preserve"> Очистители средства для удаления наклеек, скотча</t>
  </si>
  <si>
    <t>УТ000057604</t>
  </si>
  <si>
    <t>Очиститель (удалитель) наклеек, клея и скотча Abro АНТИСКОТЧ 200мл.</t>
  </si>
  <si>
    <t>УТ000055639</t>
  </si>
  <si>
    <t>Очиститель (удалитель) наклеек, клея и скотча AVK-650 АНТИСКОТЧ 335мл.</t>
  </si>
  <si>
    <t>УТ000044514</t>
  </si>
  <si>
    <t>Очиститель (удалитель) наклеек, клея и скотча AVK-697 АНТИСКОТЧ 210мл.</t>
  </si>
  <si>
    <t>УТ000050192</t>
  </si>
  <si>
    <t>Средство для удаления наклеек Label Off 0,1л</t>
  </si>
  <si>
    <t xml:space="preserve"> Удлинители, сетевые фильтры, тройники</t>
  </si>
  <si>
    <t xml:space="preserve"> Европереходники</t>
  </si>
  <si>
    <t>УТ000058694</t>
  </si>
  <si>
    <t>Адаптер сетевой универсальный EU/US/UK/RU (A C G I) P2 белый</t>
  </si>
  <si>
    <t>УТ000058695</t>
  </si>
  <si>
    <t>Адаптер сетевой универсальный EU/US/UK/RU (A C G I) P3</t>
  </si>
  <si>
    <t>УТ000050090</t>
  </si>
  <si>
    <t>Евро переходник розетки 6А</t>
  </si>
  <si>
    <t>УТ000054151</t>
  </si>
  <si>
    <t>Евро переходник розетки, белый 6А, W366E</t>
  </si>
  <si>
    <t>00401052275</t>
  </si>
  <si>
    <t>Евро переходник розетки, круглый 16A (PS1) серый ITEC</t>
  </si>
  <si>
    <t>00410049506</t>
  </si>
  <si>
    <t>Евро переходник розетки, плоский</t>
  </si>
  <si>
    <t>УТ000050137</t>
  </si>
  <si>
    <t>Евро переходник розетки, плоский 6А Веллконт, белый ПУ10/16-004</t>
  </si>
  <si>
    <t>УТ000048580</t>
  </si>
  <si>
    <t>Евро переходник розетки, плоский белый 6А ВЕЛЛКОНТ</t>
  </si>
  <si>
    <t>УТ000052333</t>
  </si>
  <si>
    <t>Евро переходник розетки, плоский чёрный 6А</t>
  </si>
  <si>
    <t>УТ000058556</t>
  </si>
  <si>
    <t>Евро переходник розетки, плоский, белый 6A, 303-046</t>
  </si>
  <si>
    <t>00401052278</t>
  </si>
  <si>
    <t>Евро переходник розетки, стакан TOKER 1S 6A</t>
  </si>
  <si>
    <t>00401052274</t>
  </si>
  <si>
    <t>Евро переходник розетки, стакан ВЕЛЛКОНТ 6А ПУ10/16-001</t>
  </si>
  <si>
    <t>УТ000047558</t>
  </si>
  <si>
    <t>Евро переходник, тройник "козья ножка" Веллконт 16А, ПУ10/16-003</t>
  </si>
  <si>
    <t>УТ000053642</t>
  </si>
  <si>
    <t>Сетевой универсальный переходник FD-1960</t>
  </si>
  <si>
    <t xml:space="preserve"> Колодки удлинителя</t>
  </si>
  <si>
    <t>00410056866</t>
  </si>
  <si>
    <t>Колодка удлинителя 2 гнезда б/з, 10А, 2,2кВТ, белая Makel (101), Турция</t>
  </si>
  <si>
    <t>УТ000038214</t>
  </si>
  <si>
    <t>Колодка удлинителя 2 гнезда б/з, 10А, 2,2кВТ, белая SmartBuy (SBE-10-2-00-N)</t>
  </si>
  <si>
    <t>УТ000044834</t>
  </si>
  <si>
    <t>Колодка удлинителя 2 гнезда б/з, 10А, 2,2кВТ, черная, бакелитовая SmartBuy (SBE-10-2-00-BN)</t>
  </si>
  <si>
    <t>УТ000057578</t>
  </si>
  <si>
    <t>Колодка удлинителя 2 гнезда б/з, 6А, 2,2кВТ, белая ВЕЛЛКОНТ</t>
  </si>
  <si>
    <t>00410056867</t>
  </si>
  <si>
    <t>Колодка удлинителя 2 гнезда с/з, 16А, 3,5кВт, белая Makel (111), Турция</t>
  </si>
  <si>
    <t>УТ000038215</t>
  </si>
  <si>
    <t>Колодка удлинителя 2 гнезда с/з, 16А, 3,5кВт, белая SmartBuy (SBE-16-2-00-Z)</t>
  </si>
  <si>
    <t>УТ000048904</t>
  </si>
  <si>
    <t>Колодка удлинителя 2 гнезда с/з, белая ВЕЛЛКОНТ</t>
  </si>
  <si>
    <t>00410056868</t>
  </si>
  <si>
    <t>Колодка удлинителя 3 гнезда б/з, 10А, 2,2кВт, белая Makel (121), Турция</t>
  </si>
  <si>
    <t>УТ000038216</t>
  </si>
  <si>
    <t>Колодка удлинителя 3 гнезда б/з, 10А, 2,2кВт, белая SmartBuy (SBE-10-3-00-N)</t>
  </si>
  <si>
    <t>УТ000044835</t>
  </si>
  <si>
    <t>Колодка удлинителя 3 гнезда б/з, 10А, 2,2кВт, черная, бакелитовая SmartBuy (SBE-10-3-00-BN)</t>
  </si>
  <si>
    <t>УТ000051215</t>
  </si>
  <si>
    <t>Колодка удлинителя 3 гнезда б/з, белая ВЕЛЛКОНТ</t>
  </si>
  <si>
    <t>УТ000051243</t>
  </si>
  <si>
    <t>Колодка удлинителя 3 гнезда б/з, белая с выключателем, PC-3, ВЕЛЛКОНТ</t>
  </si>
  <si>
    <t>00410056869</t>
  </si>
  <si>
    <t>Колодка удлинителя 3 гнезда с/з, 16А, 3,5кВт, белая Makel (131), Турция</t>
  </si>
  <si>
    <t>УТ000038217</t>
  </si>
  <si>
    <t>Колодка удлинителя 3 гнезда с/з, 16А, 3,5кВт, белая SmartBuy (SBE-16-3-00-Z)</t>
  </si>
  <si>
    <t>УТ000028661</t>
  </si>
  <si>
    <t>Колодка удлинителя 3 гнезда с/з, 16А, 3,5кВт, белая с выключателем SmartBuy (SBE-16-3-00-ZS)</t>
  </si>
  <si>
    <t>00410056865</t>
  </si>
  <si>
    <t>Колодка удлинителя 4 гнезда б/з, 10А, 2,2кВт, белая Makel (141), Турция</t>
  </si>
  <si>
    <t>УТ000051216</t>
  </si>
  <si>
    <t>Колодка удлинителя 4 гнезда б/з, белая PC-4 ВЕЛЛКОНТ</t>
  </si>
  <si>
    <t>00410056864</t>
  </si>
  <si>
    <t>Колодка удлинителя 4 гнезда с/з, 16А, 3,5кВт, белая Makel (151), Турция</t>
  </si>
  <si>
    <t>УТ000039396</t>
  </si>
  <si>
    <t>Колодка удлинителя 4 гнезда с/з, 16А, 3,5кВт, белая SmartBuy (SBE-16-4-00-Z)</t>
  </si>
  <si>
    <t>УТ000028662</t>
  </si>
  <si>
    <t>Колодка удлинителя 4 гнезда с/з, 16А, 3,5кВт, белая с выключателем SmartBuy (SBE-16-4-00-ZS)</t>
  </si>
  <si>
    <t>00410059682</t>
  </si>
  <si>
    <t>Колодка удлинителя 6 гнезд с/з, 16А, 3,5кВт, белая Makel (181), Турция</t>
  </si>
  <si>
    <t xml:space="preserve"> Сетевые фильтры</t>
  </si>
  <si>
    <t>УТ000059109</t>
  </si>
  <si>
    <t>Сетевой фильтр Perfeo "POWER STREAM" (1.5м, 5 розеток, автоматический предохранитель) белый</t>
  </si>
  <si>
    <t>УТ000059110</t>
  </si>
  <si>
    <t>Сетевой фильтр Perfeo "POWER STREAM" (1.5м, 5 розеток, автоматический предохранитель) черный</t>
  </si>
  <si>
    <t>УТ000059111</t>
  </si>
  <si>
    <t>Сетевой фильтр Perfeo "POWER STREAM" (2м, 3 USB, 4 розетки, автоматический предохранитель) белый</t>
  </si>
  <si>
    <t>УТ000059112</t>
  </si>
  <si>
    <t>Сетевой фильтр Perfeo "POWER STREAM" (2м, 3 USB, 4 розетки, автоматический предохранитель) черный</t>
  </si>
  <si>
    <t>УТ000059102</t>
  </si>
  <si>
    <t>Сетевой фильтр Perfeo "POWER STREAM" (3м, 3 розетки, автоматический предохранитель) черный</t>
  </si>
  <si>
    <t>УТ000059103</t>
  </si>
  <si>
    <t>Сетевой фильтр Perfeo "POWER STREAM" (3м, 4 розетки, автоматический предохранитель) белый</t>
  </si>
  <si>
    <t>УТ000059104</t>
  </si>
  <si>
    <t>Сетевой фильтр Perfeo "POWER STREAM" (3м, 4 розетки, автоматический предохранитель) черный</t>
  </si>
  <si>
    <t>УТ000059113</t>
  </si>
  <si>
    <t>Сетевой фильтр Perfeo "POWER STREAM" (3м, 5 розеток, автоматический предохранитель) белый</t>
  </si>
  <si>
    <t>УТ000059114</t>
  </si>
  <si>
    <t>Сетевой фильтр Perfeo "POWER STREAM" (3м, 5 розеток, автоматический предохранитель) черный</t>
  </si>
  <si>
    <t>УТ000059106</t>
  </si>
  <si>
    <t>Сетевой фильтр Perfeo "POWER STREAM" (5м, 3 розетки, автоматический предохранитель) черный</t>
  </si>
  <si>
    <t>УТ000059115</t>
  </si>
  <si>
    <t>Сетевой фильтр Perfeo "POWER STREAM" (5м, 5 розеток, автоматический предохранитель) белый</t>
  </si>
  <si>
    <t>УТ000059116</t>
  </si>
  <si>
    <t>Сетевой фильтр Perfeo "POWER STREAM" (5м, 5 розеток, автоматический предохранитель) черный</t>
  </si>
  <si>
    <t>УТ000034462</t>
  </si>
  <si>
    <t>Сетевой фильтр Perfeo "POWER+" (1.8м, 5 розеток, автоматический предохранитель) черный</t>
  </si>
  <si>
    <t>УТ000033894</t>
  </si>
  <si>
    <t>Сетевой фильтр Perfeo "POWER+" (1.8м, 6 розеток, автоматический предохранитель) серый</t>
  </si>
  <si>
    <t>УТ000033895</t>
  </si>
  <si>
    <t>Сетевой фильтр Perfeo "POWER+" (1.8м, 6 розеток, автоматический предохранитель) черный</t>
  </si>
  <si>
    <t>УТ000034463</t>
  </si>
  <si>
    <t>Сетевой фильтр Perfeo "POWER+" (3м, 5 розеток, автоматический предохранитель) серый</t>
  </si>
  <si>
    <t>УТ000034464</t>
  </si>
  <si>
    <t>Сетевой фильтр Perfeo "POWER+" (3м, 5 розеток, автоматический предохранитель) черный</t>
  </si>
  <si>
    <t>УТ000034466</t>
  </si>
  <si>
    <t>Сетевой фильтр Perfeo "POWER+" (3м, 6 розеток, автоматический предохранитель) черный</t>
  </si>
  <si>
    <t>УТ000034467</t>
  </si>
  <si>
    <t>Сетевой фильтр Perfeo "POWER+" (5м, 5 розеток, автоматический предохранитель) серый</t>
  </si>
  <si>
    <t>УТ000034468</t>
  </si>
  <si>
    <t>Сетевой фильтр Perfeo "POWER+" (5м, 5 розеток, автоматический предохранитель) черный</t>
  </si>
  <si>
    <t>УТ000036796</t>
  </si>
  <si>
    <t>Сетевой фильтр Perfeo "POWERX" (1.8м, 5 розеток, автоматический предохранитель) серый</t>
  </si>
  <si>
    <t>УТ000036798</t>
  </si>
  <si>
    <t>Сетевой фильтр Perfeo "POWERX" (3м, 5 розеток, автоматический предохранитель) серый</t>
  </si>
  <si>
    <t>УТ000036799</t>
  </si>
  <si>
    <t>Сетевой фильтр Perfeo "POWERX" (3м, 5 розеток, автоматический предохранитель) черный</t>
  </si>
  <si>
    <t>УТ000036800</t>
  </si>
  <si>
    <t>Сетевой фильтр Perfeo "POWERX" (5м, 5 розеток, автоматический предохранитель) серый</t>
  </si>
  <si>
    <t>УТ000036801</t>
  </si>
  <si>
    <t>Сетевой фильтр Perfeo "POWERX" (5м, 5 розеток, автоматический предохранитель) черный</t>
  </si>
  <si>
    <t>УТ000043958</t>
  </si>
  <si>
    <t>Сетевой фильтр Power Cube 5 х 1,9м, белый</t>
  </si>
  <si>
    <t>УТ000043954</t>
  </si>
  <si>
    <t>Сетевой фильтр Power Cube 5 х 1,9м, серый</t>
  </si>
  <si>
    <t>УТ000043961</t>
  </si>
  <si>
    <t>Сетевой фильтр Power Cube 5 х 1,9м, чёрный</t>
  </si>
  <si>
    <t>УТ000043959</t>
  </si>
  <si>
    <t>Сетевой фильтр Power Cube 5 х 3м, белый</t>
  </si>
  <si>
    <t>УТ000043955</t>
  </si>
  <si>
    <t>Сетевой фильтр Power Cube 5 х 3м, серый</t>
  </si>
  <si>
    <t>УТ000043962</t>
  </si>
  <si>
    <t>Сетевой фильтр Power Cube 5 х 3м, чёрный</t>
  </si>
  <si>
    <t>УТ000043960</t>
  </si>
  <si>
    <t>Сетевой фильтр Power Cube 5 х 4,7м, белый</t>
  </si>
  <si>
    <t>УТ000043956</t>
  </si>
  <si>
    <t>Сетевой фильтр Power Cube 5 х 4,7м, серый</t>
  </si>
  <si>
    <t>УТ000043963</t>
  </si>
  <si>
    <t>Сетевой фильтр Power Cube 5 х 4,7м, черный</t>
  </si>
  <si>
    <t>УТ000056579</t>
  </si>
  <si>
    <t>Сетевой фильтр Power Cube 5 х 7м, чёрный</t>
  </si>
  <si>
    <t>УТ000056580</t>
  </si>
  <si>
    <t>Сетевой фильтр Power Cube 6 х 1,95м, 10А, 2200Вт, серый</t>
  </si>
  <si>
    <t>УТ000053416</t>
  </si>
  <si>
    <t>Сетевой фильтр Power Cube 6 х 1,9м, 16А, 3500 Вт, белый</t>
  </si>
  <si>
    <t>УТ000056583</t>
  </si>
  <si>
    <t>Сетевой фильтр Power Cube 6 х 1,9м, 16А, 3500 Вт, серый</t>
  </si>
  <si>
    <t>УТ000056581</t>
  </si>
  <si>
    <t>Сетевой фильтр Power Cube 6 х 3м, 10А, 2200Вт, серый</t>
  </si>
  <si>
    <t>УТ000053417</t>
  </si>
  <si>
    <t>Сетевой фильтр Power Cube 6 х 3м, 16А, 3500 Вт, белый</t>
  </si>
  <si>
    <t>УТ000056584</t>
  </si>
  <si>
    <t>Сетевой фильтр Power Cube 6 х 3м, 16А, 3500 Вт, серый</t>
  </si>
  <si>
    <t>УТ000056582</t>
  </si>
  <si>
    <t>Сетевой фильтр Power Cube 6 х 5м, 10А, 2200Вт, серый</t>
  </si>
  <si>
    <t>УТ000053418</t>
  </si>
  <si>
    <t>Сетевой фильтр Power Cube 6 х 5м, 16А, 3500 Вт, белый</t>
  </si>
  <si>
    <t>УТ000058312</t>
  </si>
  <si>
    <t>Сетевой фильтр SmartBuy 16А, 3500 Вт, 5 розеток, с з/ш, ПВС 3x1.0 мм², длина 1,8м, белый (SBSP-5-18-W)</t>
  </si>
  <si>
    <t>УТ000058813</t>
  </si>
  <si>
    <t>Сетевой фильтр SmartBuy 16А, 3500 Вт, 5 розеток, с з/ш, ПВС 3x1.0 мм², длина 1,8м, серый (SBSP-5-18-G)</t>
  </si>
  <si>
    <t>УТ000058817</t>
  </si>
  <si>
    <t>Сетевой фильтр SmartBuy 16А, 3500 Вт, 5 розеток, с з/ш, ПВС 3x1.0 мм², длина 3м, белый (SBSP-5-30-W)</t>
  </si>
  <si>
    <t>УТ000058816</t>
  </si>
  <si>
    <t>Сетевой фильтр SmartBuy 16А, 3500 Вт, 5 розеток, с з/ш, ПВС 3x1.0 мм², длина 3м, серый (SBSP-5-30-G)</t>
  </si>
  <si>
    <t>УТ000009193</t>
  </si>
  <si>
    <t>Сетевой фильтр SmartBuy One, 10А, 2200 Вт, 5 розеток, длина 1,8м, белый (SBSP-18-W)</t>
  </si>
  <si>
    <t>УТ000009195</t>
  </si>
  <si>
    <t>Сетевой фильтр SmartBuy One, 10А, 2200 Вт, 5 розеток, длина 3м, белый (SBSP-30-W)</t>
  </si>
  <si>
    <t>УТ000009196</t>
  </si>
  <si>
    <t>Сетевой фильтр SmartBuy One, 10А, 2200 Вт, 5 розеток, длина 3м, черный (SBSP-30-K)</t>
  </si>
  <si>
    <t>УТ000020640</t>
  </si>
  <si>
    <t>Сетевой фильтр SmartBuy One, 10А, 2200 Вт, 5 розеток, длина 5м, белый (SBSP-50-W)</t>
  </si>
  <si>
    <t>УТ000015705</t>
  </si>
  <si>
    <t>Сетевой фильтр SmartBuy One, 10А, 2200 Вт, 5 розеток, длина 5м, черный (SBSP-50-K)</t>
  </si>
  <si>
    <t>УТ000056903</t>
  </si>
  <si>
    <t>Сетевой фильтр с 3 USB для зарядки Live-Power LP3301, 10А, 2200 Вт, 3 розетки, длина 2м</t>
  </si>
  <si>
    <t xml:space="preserve"> Стабилизаторы напряжения</t>
  </si>
  <si>
    <t>УТ000054038</t>
  </si>
  <si>
    <t>Стабилизатор напряжения RUCELF релейный однофазный 1кВА (серия СТАР)</t>
  </si>
  <si>
    <t xml:space="preserve"> Тройники, разветвители</t>
  </si>
  <si>
    <t>00410053144</t>
  </si>
  <si>
    <t>Разветвитель электрический Toker 2T белый</t>
  </si>
  <si>
    <t>УТ000027427</t>
  </si>
  <si>
    <t>Разветвитель электрический Toker 2T белый (инд.упак.)</t>
  </si>
  <si>
    <t>УТ000053419</t>
  </si>
  <si>
    <t>Разветвитель электрический Toker 2T чёрный</t>
  </si>
  <si>
    <t>00410053145</t>
  </si>
  <si>
    <t>Разветвитель электрический Toker 2T2 c заземлением белый</t>
  </si>
  <si>
    <t>УТ000027426</t>
  </si>
  <si>
    <t>Разветвитель электрический Toker 2T2 c заземлением белый (инд.упак.)</t>
  </si>
  <si>
    <t>УТ000053420</t>
  </si>
  <si>
    <t>Разветвитель электрический Toker 2T2 c заземлением чёрный</t>
  </si>
  <si>
    <t>00410053146</t>
  </si>
  <si>
    <t>Разветвитель электрический Toker 3L белый</t>
  </si>
  <si>
    <t>УТ000048577</t>
  </si>
  <si>
    <t>Разветвитель электрический Toker 3L белый (индив. упаковка)</t>
  </si>
  <si>
    <t>УТ000053423</t>
  </si>
  <si>
    <t>Разветвитель электрический Toker 3L черный</t>
  </si>
  <si>
    <t>00410053147</t>
  </si>
  <si>
    <t>Разветвитель электрический Toker 3L3 белый с заземлением</t>
  </si>
  <si>
    <t>УТ000053422</t>
  </si>
  <si>
    <t>Разветвитель электрический Toker 3L3 чёрный с заземлением</t>
  </si>
  <si>
    <t>00410050299</t>
  </si>
  <si>
    <t>Разветвитель электрический Toker 3T большой белый</t>
  </si>
  <si>
    <t>УТ000027424</t>
  </si>
  <si>
    <t>Разветвитель электрический Toker 3T большой белый (инд.упак.)</t>
  </si>
  <si>
    <t>00410050300</t>
  </si>
  <si>
    <t>Разветвитель электрический Toker 3T большой чёрный</t>
  </si>
  <si>
    <t>УТ000027425</t>
  </si>
  <si>
    <t>Разветвитель электрический Toker 3T большой черный (инд.упак.)</t>
  </si>
  <si>
    <t>00410058052</t>
  </si>
  <si>
    <t>Разветвитель электрический Toker 3T1 белый с заземлением</t>
  </si>
  <si>
    <t>УТ000053421</t>
  </si>
  <si>
    <t>Разветвитель электрический Toker 3T1 чёрный с заземлением</t>
  </si>
  <si>
    <t>УТ000033964</t>
  </si>
  <si>
    <t>Разветвитель электрический Toker 3T16 из АБС пластика 16А (инд.упак.) белый</t>
  </si>
  <si>
    <t>00410050301</t>
  </si>
  <si>
    <t>Разветвитель электрический Toker 4T большой белый</t>
  </si>
  <si>
    <t>УТ000053465</t>
  </si>
  <si>
    <t>Разветвитель электрический Toker 4T большой чёрный</t>
  </si>
  <si>
    <t>УТ000053466</t>
  </si>
  <si>
    <t>Разветвитель электрический Toker 4T4 большой чёрный  с заземлением</t>
  </si>
  <si>
    <t>УТ000039235</t>
  </si>
  <si>
    <t>Тройник сетевой "Викей" TC.3 250V/6A без заземления</t>
  </si>
  <si>
    <t>УТ000006988</t>
  </si>
  <si>
    <t>Тройник сетевой "Викей" ТС.3-1з 250V/16A с заземлением</t>
  </si>
  <si>
    <t>УТ000044558</t>
  </si>
  <si>
    <t>Тройник сетевой "Викей" ТС.3-2з 250V/16A с заземлением</t>
  </si>
  <si>
    <t>УТ000044559</t>
  </si>
  <si>
    <t>Тройник сетевой "Викей" ТС.3-3з 250V/16A с заземлением</t>
  </si>
  <si>
    <t>УТ000004150</t>
  </si>
  <si>
    <t>Тройник сетевой круглый 16А белый</t>
  </si>
  <si>
    <t>УТ000004151</t>
  </si>
  <si>
    <t>Тройник сетевой круглый 16А черный</t>
  </si>
  <si>
    <t>00401052280</t>
  </si>
  <si>
    <t>Тройник сетевой универсальный  белый</t>
  </si>
  <si>
    <t>00401052281</t>
  </si>
  <si>
    <t>Тройник сетевой универсальный  черный +</t>
  </si>
  <si>
    <t xml:space="preserve"> Удлинители  с заземлением</t>
  </si>
  <si>
    <t>УТ000037087</t>
  </si>
  <si>
    <t>Удлинитель сетевой Defender E518 5 места, 1,8 метров 2200вт, 10А, с заземлением</t>
  </si>
  <si>
    <t>УТ000052713</t>
  </si>
  <si>
    <t>Удлинитель сетевой Defender G518 5 места, 1.8 метров 2200вт, 10А с выключателем</t>
  </si>
  <si>
    <t>УТ000039008</t>
  </si>
  <si>
    <t>Удлинитель сетевой Defender S418 4 места, 1,8 метров 2200вт, 10А с выключателем, с заземлением</t>
  </si>
  <si>
    <t>УТ000039010</t>
  </si>
  <si>
    <t>Удлинитель сетевой Defender S450 4 места, 5 метров 2200вт, 10А с выключателем, с заземлением</t>
  </si>
  <si>
    <t>УТ000039011</t>
  </si>
  <si>
    <t>Удлинитель сетевой Defender S518 5 мест, 1,8 метров 2200вт, 10А с выключателем, с заземлением</t>
  </si>
  <si>
    <t>УТ000052120</t>
  </si>
  <si>
    <t>Удлинитель сетевой Perfeo "POWERMATE" (3 м, 3 розетки) белый</t>
  </si>
  <si>
    <t>УТ000059097</t>
  </si>
  <si>
    <t>Удлинитель сетевой Perfeo "POWERMATE" (5 м, 3 розетки) белый</t>
  </si>
  <si>
    <t>УТ000059098</t>
  </si>
  <si>
    <t>Удлинитель сетевой Perfeo "POWERMATE" (7 м, 3 розетки) белый</t>
  </si>
  <si>
    <t>УТ000037162</t>
  </si>
  <si>
    <t>Удлинитель сетевой Perfeo "POWERMATE" с кнопкой (1.8м, 3 розетки) белый</t>
  </si>
  <si>
    <t>УТ000036791</t>
  </si>
  <si>
    <t>Удлинитель сетевой Perfeo "POWERMATE" с кнопкой (1.8м, 3 розетки) черный</t>
  </si>
  <si>
    <t>УТ000036244</t>
  </si>
  <si>
    <t>Удлинитель сетевой Perfeo "POWERMATE" с кнопкой (3м, 3 розетки) белый</t>
  </si>
  <si>
    <t>УТ000036792</t>
  </si>
  <si>
    <t>Удлинитель сетевой Perfeo "POWERMATE" с кнопкой (3м, 3 розетки) черный</t>
  </si>
  <si>
    <t>УТ000036245</t>
  </si>
  <si>
    <t>Удлинитель сетевой Perfeo "POWERMATE" с кнопкой (5м, 3 розетки) белый</t>
  </si>
  <si>
    <t>УТ000036246</t>
  </si>
  <si>
    <t>Удлинитель сетевой Perfeo "POWERMATE" с кнопкой (5м, 3 розетки) черный</t>
  </si>
  <si>
    <t>УТ000038224</t>
  </si>
  <si>
    <t>Удлинитель сетевой SmartBuy 2 места,  5 метров, ПВС 3*1, с заземлением (SBE-16-2-05-Z)</t>
  </si>
  <si>
    <t>УТ000036091</t>
  </si>
  <si>
    <t>Удлинитель сетевой SmartBuy 3 места,  1,5 метра, ПВС 3*1, с заземлением (SBE-16-3-1,5-Z)</t>
  </si>
  <si>
    <t>УТ000035101</t>
  </si>
  <si>
    <t>Удлинитель сетевой SmartBuy 3 места,  1,5 метров, ПВС 3*1, с выключателем, с заземлением (SBE-16-3-1,5-ZS)</t>
  </si>
  <si>
    <t>УТ000035102</t>
  </si>
  <si>
    <t>Удлинитель сетевой SmartBuy 3 места,  2 метра, ПВС 3*1, с выключателем, с заземлением (SBE-16-3-02-ZS)</t>
  </si>
  <si>
    <t>УТ000036090</t>
  </si>
  <si>
    <t>Удлинитель сетевой SmartBuy 3 места,  2 метра, ПВС 3*1, с заземлением (SBE-16-3-02-Z)</t>
  </si>
  <si>
    <t>УТ000035103</t>
  </si>
  <si>
    <t>Удлинитель сетевой SmartBuy 3 места,  3  метра, ПВС 3*1, с выключателем, с заземлением (SBE-16-3-03-ZS)</t>
  </si>
  <si>
    <t>УТ000036021</t>
  </si>
  <si>
    <t>Удлинитель сетевой SmartBuy 3 места,  3 метра, ПВС 3*1, с заземлением (SBE-16-3-03-Z)</t>
  </si>
  <si>
    <t>УТ000036020</t>
  </si>
  <si>
    <t>Удлинитель сетевой SmartBuy 3 места,  5 метров, ПВС 3*1, с выключателем, с заземлением (SBE-16-3-05-ZS)</t>
  </si>
  <si>
    <t>УТ000038227</t>
  </si>
  <si>
    <t>Удлинитель сетевой SmartBuy 3 места,  5 метров, ПВС 3*1, с заземлением (SBE-16-3-05-Z)</t>
  </si>
  <si>
    <t>УТ000058836</t>
  </si>
  <si>
    <t>Удлинитель сетевой SmartBuy 3 места,  5 метров, ПВС 3*1, с заземлением NEW (SBE-16-3-5m-Z)</t>
  </si>
  <si>
    <t>УТ000044215</t>
  </si>
  <si>
    <t>Удлинитель сетевой SmartBuy 3 места,  7 метров, ПВС 3*1, с заземлением с выключателем (SBE-16-3-07-ZS)</t>
  </si>
  <si>
    <t>УТ000040474</t>
  </si>
  <si>
    <t>Удлинитель сетевой SmartBuy 4 места, 2 метра, ПВС 3*1, с выключателем, с заземлением (SBE-16-4-02-ZS)</t>
  </si>
  <si>
    <t>УТ000038229</t>
  </si>
  <si>
    <t>Удлинитель сетевой SmartBuy 4 места, 2 метра, ПВС 3*1, с заземлением (SBE-16-4-02-Z)</t>
  </si>
  <si>
    <t>УТ000038220</t>
  </si>
  <si>
    <t>Удлинитель сетевой SmartBuy 4 места, 3 метра, ПВС 3*1, с выключателем, с заземлением (SBE-16-4-03-ZS)</t>
  </si>
  <si>
    <t>УТ000038230</t>
  </si>
  <si>
    <t>Удлинитель сетевой SmartBuy 4 места, 3 метра, ПВС 3*1, с заземлением (SBE-16-4-03-Z)</t>
  </si>
  <si>
    <t>УТ000038221</t>
  </si>
  <si>
    <t>Удлинитель сетевой SmartBuy 4 места, 5 метров, ПВС 3*1, с выключателем, с заземлением (SBE-16-4-05-ZS)</t>
  </si>
  <si>
    <t>УТ000040491</t>
  </si>
  <si>
    <t>Удлинитель сетевой SmartBuy 4 места, 5 метров, ПВС 3*1, с заземлением (SBE-16-4-05-Z)</t>
  </si>
  <si>
    <t>УТ000053112</t>
  </si>
  <si>
    <t>Удлинитель силовой с вилкой и розеткой 2P+PE/1.5 метра 3x1,0.мм2 10A/2,2кВт IP44 (sbe-16-1-10-F)</t>
  </si>
  <si>
    <t>УТ000053114</t>
  </si>
  <si>
    <t>Удлинитель силовой с вилкой и розеткой 2P+PE/5 метров 3x1,0.мм2 10A/2,2кВт IP44 (sbe-16-1-30-F)</t>
  </si>
  <si>
    <t>УТ000053115</t>
  </si>
  <si>
    <t>Удлинитель силовой с вилкой и розеткой 2P+PE/7 метров 3x1,0.мм2 10A/2,2кВт IP44 (sbe-16-1-40-F)</t>
  </si>
  <si>
    <t xml:space="preserve"> Удлинители без заземления</t>
  </si>
  <si>
    <t>УТ000047556</t>
  </si>
  <si>
    <t>Рулетка-удлинитель сетевой ВЕЛЛКОНТ 3 места, 3 метра (индивид.упаковка)</t>
  </si>
  <si>
    <t>УТ000047557</t>
  </si>
  <si>
    <t>Рулетка-удлинитель сетевой ВЕЛЛКОНТ 3 места, 5 метров</t>
  </si>
  <si>
    <t>00410053883</t>
  </si>
  <si>
    <t>Рулетка-удлинитель сетевой ВЕЛЛКОНТ 3 места, 5 метров (индивид.упаковка)</t>
  </si>
  <si>
    <t>УТ000036018</t>
  </si>
  <si>
    <t>Удлинитель сетевой SmartBuy, 2 гнезда 3 метра ПВС 2x1,0 (SBE-10-2-03-N)</t>
  </si>
  <si>
    <t>УТ000040467</t>
  </si>
  <si>
    <t>Удлинитель сетевой SmartBuy, 2 гнезда 5 метров ПВС 2x1,0 (SBE-10-05-N)</t>
  </si>
  <si>
    <t>УТ000036019</t>
  </si>
  <si>
    <t>Удлинитель сетевой SmartBuy, 3 гнезда 1,5 метра ПВС 2x1,0 без заземления (SBE-10-3-1,5-N)</t>
  </si>
  <si>
    <t>УТ000059211</t>
  </si>
  <si>
    <t>Удлинитель сетевой SmartBuy, 3 гнезда 1,5 метра ПВС 2x1,0 без заземления NEW (SBE-10-3-1,5m-N)</t>
  </si>
  <si>
    <t>УТ000040468</t>
  </si>
  <si>
    <t>Удлинитель сетевой SmartBuy, 3 гнезда 10 метров ПВС 2x1,0 без заземления (SBE-10-3-10-N)</t>
  </si>
  <si>
    <t>УТ000038854</t>
  </si>
  <si>
    <t>Удлинитель сетевой SmartBuy, 3 гнезда 2 метра ПВС 2x1,0 без заземления (SBE-10-3-02-N)</t>
  </si>
  <si>
    <t>УТ000038855</t>
  </si>
  <si>
    <t>Удлинитель сетевой SmartBuy, 3 гнезда 3 метра ПВС 2x1,0 без заземления (SBE-10-3-03-N)</t>
  </si>
  <si>
    <t>УТ000038856</t>
  </si>
  <si>
    <t>Удлинитель сетевой SmartBuy, 3 гнезда 5 метра ПВС 2x1,0 без заземления (SBE-10-3-05-N)</t>
  </si>
  <si>
    <t>УТ000040470</t>
  </si>
  <si>
    <t>Удлинитель сетевой SmartBuy, 3 гнезда 7 метров ПВС 2x1,0 без заземления (SBE-10-3-07-N)</t>
  </si>
  <si>
    <t>УТ000040471</t>
  </si>
  <si>
    <t>Удлинитель сетевой SmartBuy, 4 гнезда 2 метра ПВС 2x1,0 без заземления (SBE-10-4-02-N)</t>
  </si>
  <si>
    <t>УТ000040472</t>
  </si>
  <si>
    <t>Удлинитель сетевой SmartBuy, 4 гнезда 3 метра ПВС 2x1,0 без заземления (SBE-10-4-03-N)</t>
  </si>
  <si>
    <t>УТ000040473</t>
  </si>
  <si>
    <t>Удлинитель сетевой SmartBuy, 4 гнезда 5 метров ПВС 2x1,0 без заземления (SBE-10-4-05-N)</t>
  </si>
  <si>
    <t>00410049523</t>
  </si>
  <si>
    <t>Удлинитель сетевой ДЖЕТТ PC-2 2 места,  3 метра, ШВВП 2*0.5</t>
  </si>
  <si>
    <t>УТ000000556</t>
  </si>
  <si>
    <t>Удлинитель сетевой ДЖЕТТ PC-2 2 места,  5 метров, ПВС 2*0.75</t>
  </si>
  <si>
    <t>00410050780</t>
  </si>
  <si>
    <t>Удлинитель сетевой ДЖЕТТ PC-2 2 места,  5 метров, ШВВП 2*0.5</t>
  </si>
  <si>
    <t>УТ000000557</t>
  </si>
  <si>
    <t>Удлинитель сетевой ДЖЕТТ PC-2 2 места,  7 метров, ПВС 2*0.75</t>
  </si>
  <si>
    <t>УТ000005020</t>
  </si>
  <si>
    <t>Удлинитель сетевой ДЖЕТТ PC-2 2 места,  7 метров, ШВВП 2*0.5</t>
  </si>
  <si>
    <t>УТ000000558</t>
  </si>
  <si>
    <t>Удлинитель сетевой ДЖЕТТ PC-2 2 места, 10 метров, ПВС 2*0.75</t>
  </si>
  <si>
    <t>УТ000001284</t>
  </si>
  <si>
    <t>Удлинитель сетевой ДЖЕТТ PC-2 2 места, 10 метров, ШВВП 2*0.5</t>
  </si>
  <si>
    <t>УТ000000591</t>
  </si>
  <si>
    <t>Удлинитель сетевой ДЖЕТТ PC-3 3 места,  1,5 метра, ПВС 2*0.75</t>
  </si>
  <si>
    <t>УТ000000592</t>
  </si>
  <si>
    <t>Удлинитель сетевой ДЖЕТТ PC-3 3 места,  3 метра, ПВС 2*0.75</t>
  </si>
  <si>
    <t>00410049524</t>
  </si>
  <si>
    <t>Удлинитель сетевой ДЖЕТТ PC-3 3 места,  3 метра, ШВВП 2*0.5</t>
  </si>
  <si>
    <t>УТ000000593</t>
  </si>
  <si>
    <t>Удлинитель сетевой ДЖЕТТ PC-3 3 места,  5 метров, ПВС 2*0.75</t>
  </si>
  <si>
    <t>00410050779</t>
  </si>
  <si>
    <t>Удлинитель сетевой ДЖЕТТ PC-3 3 места,  5 метров, ШВВП 2*0,5</t>
  </si>
  <si>
    <t>УТ000000559</t>
  </si>
  <si>
    <t>Удлинитель сетевой ДЖЕТТ PC-3 3 места,  7 метров, ПВС 2*0.75</t>
  </si>
  <si>
    <t>00410050782</t>
  </si>
  <si>
    <t>Удлинитель сетевой ДЖЕТТ PC-3 3 места,  7 метров, ШВВП 2*0,5</t>
  </si>
  <si>
    <t>УТ000000560</t>
  </si>
  <si>
    <t>Удлинитель сетевой ДЖЕТТ PC-3 3 места, 10 метров, ПВС 2*0.75</t>
  </si>
  <si>
    <t>УТ000004142</t>
  </si>
  <si>
    <t>Удлинитель сетевой ДЖЕТТ PC-3 3 места, 10 метров, ШВВП 2*0.5</t>
  </si>
  <si>
    <t>00410058659</t>
  </si>
  <si>
    <t>Удлинитель сетевой ДЖЕТТ PC-4  4 места, 3 метра, ШВВП 2*0,5</t>
  </si>
  <si>
    <t>УТ000000562</t>
  </si>
  <si>
    <t>Удлинитель сетевой ДЖЕТТ PC-4 4 места,  3 метра, ПВС 2*0.75</t>
  </si>
  <si>
    <t>УТ000000563</t>
  </si>
  <si>
    <t>Удлинитель сетевой ДЖЕТТ PC-4 4 места,  5 метров, ПВС 2*0.75</t>
  </si>
  <si>
    <t>00410056105</t>
  </si>
  <si>
    <t>Удлинитель сетевой ДЖЕТТ PC-4 4 места,  5 метров, ШВВП 2*0,5</t>
  </si>
  <si>
    <t>УТ000000564</t>
  </si>
  <si>
    <t>Удлинитель сетевой ДЖЕТТ PC-4 4 места,  7 метров, ПВС 2*0.75</t>
  </si>
  <si>
    <t>УТ000002270</t>
  </si>
  <si>
    <t>Удлинитель сетевой ДЖЕТТ PC-4 4 места,  7 метров, ШВВП 2*0,5</t>
  </si>
  <si>
    <t>УТ000000565</t>
  </si>
  <si>
    <t>Удлинитель сетевой ДЖЕТТ PC-4 4 места, 10 метров, ПВС 2*0.75</t>
  </si>
  <si>
    <t>УТ000003718</t>
  </si>
  <si>
    <t>Удлинитель сетевой ДЖЕТТ PC-4 4 места, 10 метров, ШВВП 2*0,5</t>
  </si>
  <si>
    <t>УТ000004995</t>
  </si>
  <si>
    <t>Удлинитель сетевой ОБИХОД PC-3 3 места, 1,5 метров, ШВВП 2*0.5</t>
  </si>
  <si>
    <t>УТ000005019</t>
  </si>
  <si>
    <t>Удлинитель сетевой ОБИХОД PC-3 3 места, 10 метров, ШВВП 2*0.5</t>
  </si>
  <si>
    <t>УТ000004996</t>
  </si>
  <si>
    <t>Удлинитель сетевой ОБИХОД PC-3 3 места, 3 метра, ШВВП 2*0.5</t>
  </si>
  <si>
    <t>УТ000004997</t>
  </si>
  <si>
    <t>Удлинитель сетевой ОБИХОД PC-3 3 места, 5 метров, ШВВП 2*0.5</t>
  </si>
  <si>
    <t>УТ000004998</t>
  </si>
  <si>
    <t>Удлинитель сетевой ОБИХОД PC-3 3 места, 7 метров, ШВВП 2*0.5</t>
  </si>
  <si>
    <t xml:space="preserve"> Удлинители на катушке без заземления</t>
  </si>
  <si>
    <t>УТ000005508</t>
  </si>
  <si>
    <t>Удлинитель электрический на катушке 25м, ПВС 2х0,75мм, без заземления, 1 гнездо</t>
  </si>
  <si>
    <t>УТ000052613</t>
  </si>
  <si>
    <t>Удлинитель электрический на катушке 40м, ПВС 2х0,75мм, без заземления, 1 гнездо</t>
  </si>
  <si>
    <t xml:space="preserve"> Удлинители на рамке</t>
  </si>
  <si>
    <t>УТ000016184</t>
  </si>
  <si>
    <t>Удлинитель электрический на рамке, литой (провод ПВС 2*1,5) 16м</t>
  </si>
  <si>
    <t xml:space="preserve"> Фонари</t>
  </si>
  <si>
    <t xml:space="preserve"> Брелочные фонари</t>
  </si>
  <si>
    <t>00000002166</t>
  </si>
  <si>
    <t>Фонарь-брелок Camelion LED 18-1mix</t>
  </si>
  <si>
    <t>УТ000004751</t>
  </si>
  <si>
    <t>Фонарь-брелок Следопыт SL-031 5L, в наборе</t>
  </si>
  <si>
    <t>УТ000004753</t>
  </si>
  <si>
    <t>Фонарь-брелок Следопыт SL-041 5L, в наборе</t>
  </si>
  <si>
    <t>УТ000004759</t>
  </si>
  <si>
    <t>Фонарь-брелок Следопыт SL-207 1L, в наборе 24шт</t>
  </si>
  <si>
    <t>УТ000000939</t>
  </si>
  <si>
    <t>Фонарь-брелок Следопыт SL-509</t>
  </si>
  <si>
    <t>УТ000004761</t>
  </si>
  <si>
    <t>Фонарь-брелок Следопыт SL-816 помада, 1L, в наборе 20шт</t>
  </si>
  <si>
    <t>УТ000004769</t>
  </si>
  <si>
    <t>Фонарь-брелок Следопыт SL-XS-1181 тапок, 2L, в наборе 48шт</t>
  </si>
  <si>
    <t>УТ000004770</t>
  </si>
  <si>
    <t>Фонарь-брелок Следопыт SL-YG-530 месяц, 2L, в наборе 36шт</t>
  </si>
  <si>
    <t>УТ000004771</t>
  </si>
  <si>
    <t>Фонарь-брелок Следопыт SL-YG-539 Череп, 2L, в наборе 40шт</t>
  </si>
  <si>
    <t xml:space="preserve"> Кемпинговые фонари</t>
  </si>
  <si>
    <t xml:space="preserve"> Кемпинговые фонари аккумуляторные</t>
  </si>
  <si>
    <t>УТ000054903</t>
  </si>
  <si>
    <t>Фонарь кемпинговый JX-5602 аккум,1COB, солн.бат</t>
  </si>
  <si>
    <t>УТ000054904</t>
  </si>
  <si>
    <t>Фонарь кемпинговый SH-1600 аккум,1LED+12LED, солн.бат</t>
  </si>
  <si>
    <t>УТ000044805</t>
  </si>
  <si>
    <t>Фонарь кемпинговый аккумул. SmartBuy 24 LED+1Вт (SBF-38-R)</t>
  </si>
  <si>
    <t xml:space="preserve"> Кемпинговые фонари в форме тарелки</t>
  </si>
  <si>
    <t>УТ000011090</t>
  </si>
  <si>
    <t>Светодиодный фонарь Smartbuy 48 LED с карабином для подвешивания, 3АА, белый (SBF-8254-W)</t>
  </si>
  <si>
    <t>УТ000003412</t>
  </si>
  <si>
    <t>Светодиодный фонарь Smartbuy Missouri 24 LED с карабином для подвешивания, белый (SBF-8253-W)</t>
  </si>
  <si>
    <t xml:space="preserve"> Лазерные указки</t>
  </si>
  <si>
    <t>УТ000055473</t>
  </si>
  <si>
    <t>Лазерная указка Laser 303 фиолетовый луч</t>
  </si>
  <si>
    <t>УТ000054907</t>
  </si>
  <si>
    <t>Фонарь лазерная указка 1COB, 1АА</t>
  </si>
  <si>
    <t xml:space="preserve"> Налобные фонари</t>
  </si>
  <si>
    <t xml:space="preserve"> Налобные фонари аккумуляторные</t>
  </si>
  <si>
    <t>УТ000042965</t>
  </si>
  <si>
    <t>Фонарь налобный CY-909 (1L, 1*18650, Zoom, T6)</t>
  </si>
  <si>
    <t>УТ000050336</t>
  </si>
  <si>
    <t>Фонарь налобный Dream F1, черный</t>
  </si>
  <si>
    <t>УТ000057985</t>
  </si>
  <si>
    <t>Фонарь налобный Dream MX-501</t>
  </si>
  <si>
    <t>УТ000043775</t>
  </si>
  <si>
    <t>Фонарь налобный LED CY-800</t>
  </si>
  <si>
    <t>УТ000013679</t>
  </si>
  <si>
    <t>Фонарь налобный LED LP-582 (встроен.АКБ,зарядка от сети 220В)</t>
  </si>
  <si>
    <t>УТ000013678</t>
  </si>
  <si>
    <t>Фонарь налобный LED LP-686 (встроен.АКБ,зарядка от сети 220В)</t>
  </si>
  <si>
    <t>УТ000026909</t>
  </si>
  <si>
    <t>Фонарь налобный LED MR-901 (встроен.АКБ,зарядка от сети 220В)</t>
  </si>
  <si>
    <t>УТ000036558</t>
  </si>
  <si>
    <t>Фонарь налобный LED сверхяркий BL-9000</t>
  </si>
  <si>
    <t>УТ000054662</t>
  </si>
  <si>
    <t>Фонарь налобный LED сверхяркий KX-1804 аккумуляторный (1L,1*18650, T6)</t>
  </si>
  <si>
    <t>УТ000030404</t>
  </si>
  <si>
    <t>Фонарь налобный LED сверхяркий T-163 (1L, 1*18650, Zoom, T6)</t>
  </si>
  <si>
    <t>УТ000050436</t>
  </si>
  <si>
    <t>Фонарь налобный LED сверхяркий T-165 (1L, 1*18650, Zoom, T6)</t>
  </si>
  <si>
    <t>УТ000034652</t>
  </si>
  <si>
    <t>Фонарь налобный XST-211</t>
  </si>
  <si>
    <t>УТ000045082</t>
  </si>
  <si>
    <t>Фонарь налобный аккумуляторный Boruit B36, 200Lum, 5W, 6000K</t>
  </si>
  <si>
    <t>УТ000049252</t>
  </si>
  <si>
    <t>Фонарь налобный аккумуляторный Smartbuy (SBF-HL036)</t>
  </si>
  <si>
    <t>УТ000011087</t>
  </si>
  <si>
    <t>Фонарь налобный аккумуляторный SmartBuy 12LED, синий (SBF-26-B)</t>
  </si>
  <si>
    <t>УТ000011088</t>
  </si>
  <si>
    <t>Фонарь налобный аккумуляторный SmartBuy 1Вт+8LED, синий (SBF-25-B)</t>
  </si>
  <si>
    <t>УТ000059051</t>
  </si>
  <si>
    <t>Фонарь налобный аккумуляторный Smartbuy 3Вт Led+3Вт COB (SBF-HL038)</t>
  </si>
  <si>
    <t>УТ000011089</t>
  </si>
  <si>
    <t>Фонарь налобный аккумуляторный SmartBuy 7LED, синий (SBF-24-B)</t>
  </si>
  <si>
    <t>УТ000051269</t>
  </si>
  <si>
    <t>Фонарь налобный аккумуляторный Smartbuy, (SBF-HL037)</t>
  </si>
  <si>
    <t>УТ000053995</t>
  </si>
  <si>
    <t>Фонарь налобный аккумуляторный Патриот PT-FLG12</t>
  </si>
  <si>
    <t>УТ000049873</t>
  </si>
  <si>
    <t>Фонарь налобный аккумуляторный Патриот PT-FLG25</t>
  </si>
  <si>
    <t>УТ000053997</t>
  </si>
  <si>
    <t>Фонарь налобный аккумуляторный Патриот PT-FLG30</t>
  </si>
  <si>
    <t>УТ000046340</t>
  </si>
  <si>
    <t>Фонарь налобный аккумуляторный Патриот PT-FLG31</t>
  </si>
  <si>
    <t>УТ000046341</t>
  </si>
  <si>
    <t>Фонарь налобный аккумуляторный Патриот PT-FLG38</t>
  </si>
  <si>
    <t>УТ000057753</t>
  </si>
  <si>
    <t>Фонарь налобный аккумуляторный Патриот PT-FLG48A, 1LED</t>
  </si>
  <si>
    <t>УТ000057754</t>
  </si>
  <si>
    <t>Фонарь налобный аккумуляторный Патриот PT-FLG48B, 3LED</t>
  </si>
  <si>
    <t>УТ000057755</t>
  </si>
  <si>
    <t>Фонарь налобный аккумуляторный Патриот PT-FLG48C, 2LED</t>
  </si>
  <si>
    <t>УТ000047507</t>
  </si>
  <si>
    <t>Фонарь налобный аккумуляторный Спутник AFH729-3W</t>
  </si>
  <si>
    <t>УТ000033715</t>
  </si>
  <si>
    <t>Фонарь налобный светодиодный NL KX-1801</t>
  </si>
  <si>
    <t>УТ000041038</t>
  </si>
  <si>
    <t>Фонарь светодиодный аккумул. Спутник AFH730-3W</t>
  </si>
  <si>
    <t xml:space="preserve"> Налобные фонари аккумуляторные, светодиоды XHP160 - XHP50</t>
  </si>
  <si>
    <t>УТ000056822</t>
  </si>
  <si>
    <t>Фонарь налобный аккумуляторный, светодиод XHP160, 2*18650 в комплекте, USB разъем для заряда</t>
  </si>
  <si>
    <t xml:space="preserve"> Налобные фонари на батарейках</t>
  </si>
  <si>
    <t>УТ000025926</t>
  </si>
  <si>
    <t>Светодиодный налобный фонарь Smartbuy 3Вт (SBF-HL021)</t>
  </si>
  <si>
    <t>УТ000036868</t>
  </si>
  <si>
    <t>Светодиодный налобный фонарь Smartbuy 3Вт COB, черный (SBF-HL029)</t>
  </si>
  <si>
    <t>УТ000044806</t>
  </si>
  <si>
    <t>Светодиодный налобный фонарь Smartbuy 3Вт COB, черный (SBF-HL031)</t>
  </si>
  <si>
    <t>УТ000044845</t>
  </si>
  <si>
    <t>Светодиодный налобный фонарь Smartbuy 3Вт LED, черный (SBF-HL030)</t>
  </si>
  <si>
    <t>УТ000003418</t>
  </si>
  <si>
    <t>Светодиодный налобный фонарь Smartbuy Yukon 21 LED , черный (SBF-HL006-K)</t>
  </si>
  <si>
    <t>УТ000044363</t>
  </si>
  <si>
    <t>Фонарь налобный  F1 MX-101-COB LED, черный</t>
  </si>
  <si>
    <t>УТ000055484</t>
  </si>
  <si>
    <t>Фонарь налобный BZM001/MX-6611 Zoom, 3AAA</t>
  </si>
  <si>
    <t>УТ000046688</t>
  </si>
  <si>
    <t>Фонарь налобный Garin Lux HL9COB 3Вт BL-1</t>
  </si>
  <si>
    <t>УТ000045511</t>
  </si>
  <si>
    <t>Фонарь налобный светодиодный CH-2016, чёрный-синий</t>
  </si>
  <si>
    <t xml:space="preserve"> Прожекторы-фонари</t>
  </si>
  <si>
    <t>УТ000034854</t>
  </si>
  <si>
    <t>Прожектор светодиодный HB-9707A-1 аккумуляторный (солнечная батарея, USB) зеленый</t>
  </si>
  <si>
    <t>УТ000034856</t>
  </si>
  <si>
    <t>Прожектор светодиодный HB-9707A-1, зеленый</t>
  </si>
  <si>
    <t>УТ000034855</t>
  </si>
  <si>
    <t>Прожектор светодиодный HB-9707A-2 аккумуляторный (солнечная батарея, USB) синий</t>
  </si>
  <si>
    <t>УТ000053877</t>
  </si>
  <si>
    <t>Фонарь прожектор аккум LP-209 COB+ 1 LED, 3 режима работы, зарядка от сети+4АА</t>
  </si>
  <si>
    <t>УТ000053880</t>
  </si>
  <si>
    <t>Фонарь прожектор аккум SS-5918 1LED(1W)+14LED(3W), 2 режима работы, зарядка от сети, ремешок</t>
  </si>
  <si>
    <t>УТ000054095</t>
  </si>
  <si>
    <t>Фонарь прожектор аккум SS-5918-2 1LED(1W)+1LED(3W),2 режима работы, зарядка от сети, ремешок</t>
  </si>
  <si>
    <t>УТ000054905</t>
  </si>
  <si>
    <t>Фонарь прожектор аккум YW-9909 1LED+16LED, 2 режима работы, зарядка от сети</t>
  </si>
  <si>
    <t>УТ000011097</t>
  </si>
  <si>
    <t>Фонарь прожектор аккумуляторный SmartBuy 2в1 1W+18 SMD, черный (SBF-303-K)</t>
  </si>
  <si>
    <t>УТ000011099</t>
  </si>
  <si>
    <t>Фонарь прожектор аккумуляторный SmartBuy 5W, черный (SBF-355-K)</t>
  </si>
  <si>
    <t>УТ000044914</t>
  </si>
  <si>
    <t>Фонарь светодиодный аккумул. Спутник 2вт + 12SMD, аккумулятор 1600мАч AFP812</t>
  </si>
  <si>
    <t>УТ000044917</t>
  </si>
  <si>
    <t>Фонарь светодиодный аккумул. Спутник 3 Вт + COB LED 3 Вт, аккумулятор 650мАч AFP910</t>
  </si>
  <si>
    <t>УТ000051296</t>
  </si>
  <si>
    <t>Фонарь светодиодный аккумул. Спутник 3вт + 24SMD, аккумулятор 1300мАч  AFP930</t>
  </si>
  <si>
    <t>УТ000047505</t>
  </si>
  <si>
    <t>Фонарь светодиодный аккумул. Спутник 3вт + 24SMD, аккумулятор 1300мАч  AFP932</t>
  </si>
  <si>
    <t>УТ000051293</t>
  </si>
  <si>
    <t>Фонарь светодиодный аккумул. Спутник 5вт + 30SMD, аккумулятор 1600мАч AFP925</t>
  </si>
  <si>
    <t>УТ000044915</t>
  </si>
  <si>
    <t>Фонарь светодиодный аккумул. Спутник 5вт, аккумулятор 2500мАч AFP821</t>
  </si>
  <si>
    <t xml:space="preserve"> Ручные фонари</t>
  </si>
  <si>
    <t xml:space="preserve"> Аккумуляторные фонари в металическом корпусе</t>
  </si>
  <si>
    <t>УТ000034862</t>
  </si>
  <si>
    <t>Фонарь ME MX-1501-COB LED, черный</t>
  </si>
  <si>
    <t>УТ000035748</t>
  </si>
  <si>
    <t>Фонарь ME MX-611-COB, черный</t>
  </si>
  <si>
    <t>УТ000036077</t>
  </si>
  <si>
    <t>Фонарь MX-515-USB (1LED, аккумулятор) черный</t>
  </si>
  <si>
    <t>УТ000052675</t>
  </si>
  <si>
    <t>Фонарь ручной BL511 аккумуляторный 1LED+боковой COB, в пластиковом боксе (USB-micro. ZOOM)</t>
  </si>
  <si>
    <t>УТ000056256</t>
  </si>
  <si>
    <t>Фонарь ручной L-830 аккумуляторный+ боковая COB панель, (USB-micro, ZOOM, 3 режима)</t>
  </si>
  <si>
    <t>УТ000051324</t>
  </si>
  <si>
    <t>Фонарь ручной YYC-513-T6 аккумуляторный 1LED+ COB, в пластик. боксе (USB-micro, ZOOM)</t>
  </si>
  <si>
    <t>УТ000055480</t>
  </si>
  <si>
    <t>Фонарь ручной YYC-861 аккумуляторный 1LED+ COB, в пластик. боксе(USB-micro, ZOOM)</t>
  </si>
  <si>
    <t>УТ000055481</t>
  </si>
  <si>
    <t>Фонарь ручной YYC-862 аккумуляторный 1LED+ COB, в пластик. боксе(USB-micro, ZOOM</t>
  </si>
  <si>
    <t>УТ000055482</t>
  </si>
  <si>
    <t>Фонарь ручной YYC-863 аккумуляторный 1Led + COB</t>
  </si>
  <si>
    <t>УТ000057289</t>
  </si>
  <si>
    <t>Фонарь ручной YYC-981 аккумуляторный 1LED+ COB, в коробке (USB-micro, ZOOM)</t>
  </si>
  <si>
    <t>УТ000058054</t>
  </si>
  <si>
    <t>Фонарь ручной YYC-982 аккумуляторный 1LED+ COB, в пластиковом боксе (USB-micro, ZOOM)</t>
  </si>
  <si>
    <t>УТ000058055</t>
  </si>
  <si>
    <t>Фонарь ручной YYC-983 аккумуляторный 1LED+ COB, в пластиковом боксе (USB-micro, ZOOM)</t>
  </si>
  <si>
    <t>УТ000043153</t>
  </si>
  <si>
    <t>Фонарь ручной аккумуляторный Boruit С8, 10 W, 1050 Lum, 6000 K, 1LED OSRAM NM1 - до 1000 метров, 1*18650</t>
  </si>
  <si>
    <t>УТ000046692</t>
  </si>
  <si>
    <t>Фонарь ручной аккумуляторный,  XPE, 3Вт, аккумулятор 14500, Garin Lux MR3-3W</t>
  </si>
  <si>
    <t>УТ000046693</t>
  </si>
  <si>
    <t>Фонарь ручной аккумуляторный,  XPE, 3Вт, аккумулятор 14500, Garin Lux MR3-3WCOB</t>
  </si>
  <si>
    <t>УТ000048231</t>
  </si>
  <si>
    <t>Фонарь ручной аккумуляторный, 3Вт, Garin Lux MR-5W</t>
  </si>
  <si>
    <t>УТ000050798</t>
  </si>
  <si>
    <t>Фонарь ручной Патриот (аккум, ZOOM) PT-FLR11</t>
  </si>
  <si>
    <t>УТ000020043</t>
  </si>
  <si>
    <t>Фонарь ручной Патриот PT-FLR07, 600 Lum, 10W, 6000K</t>
  </si>
  <si>
    <t>УТ000038948</t>
  </si>
  <si>
    <t>Фонарь ручной Патриот PT-FLR12 (1L,18650, ZOOM)</t>
  </si>
  <si>
    <t>УТ000009935</t>
  </si>
  <si>
    <t>Фонарь ручной Патриот PT-FLR13</t>
  </si>
  <si>
    <t>УТ000020042</t>
  </si>
  <si>
    <t>Фонарь ручной Патриот PT-FLR14 (1L,18650, ZOOM)</t>
  </si>
  <si>
    <t>УТ000005743</t>
  </si>
  <si>
    <t>Фонарь ручной Патриот PT-FLR16, 300 Lum, 3W, 6000K</t>
  </si>
  <si>
    <t>УТ000034863</t>
  </si>
  <si>
    <t>Фонарь светодиодный Dream MX-501-COB LED, черный</t>
  </si>
  <si>
    <t>УТ000055399</t>
  </si>
  <si>
    <t>Фонарь светодиодный аккумуляторный SmartBuy SBF-13-B 3Вт LED+ 3 Вт COB черный</t>
  </si>
  <si>
    <t xml:space="preserve"> Аккумуляторные фонари в металическом корпусе, светодиоды XHP160 - XHP50</t>
  </si>
  <si>
    <t>УТ000056827</t>
  </si>
  <si>
    <t>Фонарь аккумуляторный алюминиевый, светодиод XHP160 + COB, 2*26650 в комплекте, дисплей заряда, длина 260мм</t>
  </si>
  <si>
    <t>УТ000056825</t>
  </si>
  <si>
    <t>Фонарь аккумуляторный алюминиевый, светодиод XHP50, 1*18650 в комплекте, дисплей заряда, длина 179мм</t>
  </si>
  <si>
    <t>УТ000056824</t>
  </si>
  <si>
    <t>Фонарь аккумуляторный алюминиевый, светодиод XHP90, 2*18650 в комплекте, дисплей заряда, длина 252мм</t>
  </si>
  <si>
    <t>УТ000054243</t>
  </si>
  <si>
    <t>Фонарь светодиодный  аккумуляторный Smartbuy CREE XPE 4Вт с системой фокусировки луча, черный (SBF-307A)</t>
  </si>
  <si>
    <t xml:space="preserve"> Аккумуляторные фонари в пластмассовом корпусе</t>
  </si>
  <si>
    <t>УТ000055478</t>
  </si>
  <si>
    <t>Фонарь ручной BL-659/YD-659 аккумуляторный (USB-micro, ZOOM)</t>
  </si>
  <si>
    <t>УТ000054655</t>
  </si>
  <si>
    <t>Фонарь ручной BL-688 аккумуляторный</t>
  </si>
  <si>
    <t>УТ000054660</t>
  </si>
  <si>
    <t>Фонарь ручной BL-8809 аккумуляторный (USB-micro, ZOOM)</t>
  </si>
  <si>
    <t>УТ000054658</t>
  </si>
  <si>
    <t>Фонарь ручной BL-8810 аккумуляторный (USB-micro, ZOOM)</t>
  </si>
  <si>
    <t>УТ000054661</t>
  </si>
  <si>
    <t>Фонарь ручной BL-8813 аккумуляторный (USB-micro, ZOOM)</t>
  </si>
  <si>
    <t>УТ000055479</t>
  </si>
  <si>
    <t>Фонарь ручной L-839 аккумуляторный (USB-micro, ZOOM, 3 режима)</t>
  </si>
  <si>
    <t>УТ000054657</t>
  </si>
  <si>
    <t>Фонарь ручной LY-1928 аккумуляторный (USB-micro, ZOOM)</t>
  </si>
  <si>
    <t>УТ000054654</t>
  </si>
  <si>
    <t>Фонарь ручной YD-658-4 аккумуляторный</t>
  </si>
  <si>
    <t>УТ000054651</t>
  </si>
  <si>
    <t>Фонарь ручной YYC-535 аккумуляторный 1LED+ COB, в пластик. боксе (USB-micro, ZOOM)</t>
  </si>
  <si>
    <t>УТ000054652</t>
  </si>
  <si>
    <t>Фонарь ручной YYC-535-1 аккумуляторный 1Led + COB хаки</t>
  </si>
  <si>
    <t>УТ000056358</t>
  </si>
  <si>
    <t>Фонарь ручной аккум L-826 аккумуляторный 1 LED</t>
  </si>
  <si>
    <t>УТ000054906</t>
  </si>
  <si>
    <t>Фонарь ручной аккум LY-826 15 LED 1 реж.работы с вилкой</t>
  </si>
  <si>
    <t>УТ000054097</t>
  </si>
  <si>
    <t>Фонарь ручной аккум LY-827 4 LED 1 реж.работы с вилкой</t>
  </si>
  <si>
    <t>УТ000057003</t>
  </si>
  <si>
    <t>Фонарь светодиодный Dream G18</t>
  </si>
  <si>
    <t>УТ000057004</t>
  </si>
  <si>
    <t>Фонарь светодиодный Dream K 528 чёрный</t>
  </si>
  <si>
    <t>УТ000041033</t>
  </si>
  <si>
    <t>Фонарь светодиодный аккумул. Спутник AF201-4LED</t>
  </si>
  <si>
    <t>УТ000054778</t>
  </si>
  <si>
    <t>Фонарь светодиодный аккумул. Спутник AF202</t>
  </si>
  <si>
    <t>УТ000041035</t>
  </si>
  <si>
    <t>Фонарь светодиодный аккумул. Спутник AF207</t>
  </si>
  <si>
    <t>УТ000041037</t>
  </si>
  <si>
    <t>Фонарь светодиодный аккумул. Спутник AF630</t>
  </si>
  <si>
    <t>УТ000058428</t>
  </si>
  <si>
    <t>Фонарь светодиодный аккумул. Спутник AFP816-3W</t>
  </si>
  <si>
    <t>УТ000058429</t>
  </si>
  <si>
    <t>Фонарь светодиодный аккумул. Спутник AFP823-3W</t>
  </si>
  <si>
    <t>УТ000054775</t>
  </si>
  <si>
    <t>Фонарь светодиодный аккумул. Спутник AFP829-10W</t>
  </si>
  <si>
    <t>УТ000048152</t>
  </si>
  <si>
    <t>Фонарь светодиодный аккумул. Спутник AFP953</t>
  </si>
  <si>
    <t>УТ000024975</t>
  </si>
  <si>
    <t>Фонарь светодиодный аккумуляторный SmartBuy SBF-44-B 5 LED с прямой зарядкой Smartbuy, черный</t>
  </si>
  <si>
    <t>УТ000008029</t>
  </si>
  <si>
    <t>Фонарь светодиодный аккумуляторный SmartBuy SBF-84-Y 4LED с прямой зарядкой, желтые</t>
  </si>
  <si>
    <t>УТ000008028</t>
  </si>
  <si>
    <t>Фонарь светодиодный аккумуляторный SmartBuy SBF-85-Y 15LED с прямой зарядкой, желтые</t>
  </si>
  <si>
    <t>УТ000008032</t>
  </si>
  <si>
    <t>Фонарь светодиодный аккумуляторный SmartBuy SBF-86-Y 7LED с прямой зарядкой, желтый</t>
  </si>
  <si>
    <t>УТ000008031</t>
  </si>
  <si>
    <t>Фонарь светодиодный аккумуляторный SmartBuy SBF-87-Y 4+6LED с прямой зарядкой, желтый</t>
  </si>
  <si>
    <t>УТ000008034</t>
  </si>
  <si>
    <t>Фонарь светодиодный аккумуляторный SmartBuy SBF-88-Y 7+8LED с прямой зарядкой, желтый</t>
  </si>
  <si>
    <t>УТ000011080</t>
  </si>
  <si>
    <t>Фонарь светодиодный аккумуляторный SmartBuy SBF-89-Y 15+10LED с прямой зарядкой, желтые</t>
  </si>
  <si>
    <t>УТ000008030</t>
  </si>
  <si>
    <t>Фонарь светодиодный аккумуляторный SmartBuy SBF-93-R 4LED с прямой зарядкой, красный</t>
  </si>
  <si>
    <t>УТ000008033</t>
  </si>
  <si>
    <t>Фонарь светодиодный аккумуляторный SmartBuy SBF-95-R 7LED с прямой зарядкой, красный</t>
  </si>
  <si>
    <t>УТ000011081</t>
  </si>
  <si>
    <t>Фонарь светодиодный аккумуляторный SmartBuy SBF-99-B 5LED с прямой зарядкой, синий</t>
  </si>
  <si>
    <t>УТ000048151</t>
  </si>
  <si>
    <t>Фонарь светодиодный аккумуляторный Спутник AF600</t>
  </si>
  <si>
    <t xml:space="preserve"> Фонари на батарейках</t>
  </si>
  <si>
    <t>УТ000008350</t>
  </si>
  <si>
    <t>Светодиодный алюминиевый фонарь SmartBuy 1Вт 2АА, чёрный (SBF-600-K)</t>
  </si>
  <si>
    <t>УТ000038209</t>
  </si>
  <si>
    <t>Светодиодный алюминиевый фонарь SmartBuy 3Вт LED+3Вт COB, АА (SBF-104)</t>
  </si>
  <si>
    <t>УТ000006560</t>
  </si>
  <si>
    <t>Фонарик Следопыт 8510 1 лам</t>
  </si>
  <si>
    <t>УТ000057582</t>
  </si>
  <si>
    <t>Фонарь JF-003 чёрный DREAM</t>
  </si>
  <si>
    <t>УТ000050012</t>
  </si>
  <si>
    <t>Фонарь ручной Garin Lux PM3-3W</t>
  </si>
  <si>
    <t>УТ000042565</t>
  </si>
  <si>
    <t>Фонарь ручной LED ZJ-108</t>
  </si>
  <si>
    <t>УТ000054649</t>
  </si>
  <si>
    <t>Фонарь ручной MINI 801B 9LED (3*AAA)</t>
  </si>
  <si>
    <t>УТ000043155</t>
  </si>
  <si>
    <t>Фонарь ручной Патриот PT-FLR23 (2L, аккум.)</t>
  </si>
  <si>
    <t>УТ000049277</t>
  </si>
  <si>
    <t>Фонарь ручной светодиодный 9 LED, SmartBuy (SBF-103-B)</t>
  </si>
  <si>
    <t>УТ000054647</t>
  </si>
  <si>
    <t>Фонарь ручной телескопический с магнитом 98208</t>
  </si>
  <si>
    <t xml:space="preserve"> Электронные компоненты</t>
  </si>
  <si>
    <t xml:space="preserve"> Антенны телескопические</t>
  </si>
  <si>
    <t>УТ000055521</t>
  </si>
  <si>
    <t>Антенна телескопическая D-5мм S5 110-380мм, AST-18</t>
  </si>
  <si>
    <t>УТ000058925</t>
  </si>
  <si>
    <t>Антенна телескопическая D-5мм S5 67-230мм, AST-2</t>
  </si>
  <si>
    <t>УТ000055519</t>
  </si>
  <si>
    <t>Антенна телескопическая D-6мм S3 190-420мм, AST-23</t>
  </si>
  <si>
    <t>УТ000058924</t>
  </si>
  <si>
    <t>Антенна телескопическая D-6мм S4 170-485мм, AST-15</t>
  </si>
  <si>
    <t>УТ000058926</t>
  </si>
  <si>
    <t>Антенна телескопическая D-6мм S5 110-320мм, AST-28</t>
  </si>
  <si>
    <t>УТ000058927</t>
  </si>
  <si>
    <t>Антенна телескопическая D-6мм S6 100-480мм, AST-3</t>
  </si>
  <si>
    <t>УТ000058923</t>
  </si>
  <si>
    <t>Антенна телескопическая D-7мм S5 200-860мм, AST-13</t>
  </si>
  <si>
    <t>УТ000058325</t>
  </si>
  <si>
    <t>Антенна телескопическая D-7мм S7 100-400мм, AST-7</t>
  </si>
  <si>
    <t>УТ000057354</t>
  </si>
  <si>
    <t>Антенна телескопическая D-7мм S7 150-650мм, AST-24</t>
  </si>
  <si>
    <t xml:space="preserve"> Батарейные отсеки</t>
  </si>
  <si>
    <t xml:space="preserve"> Отсеки для аккумуляторов 18650, 26650</t>
  </si>
  <si>
    <t>УТ000055214</t>
  </si>
  <si>
    <t>Кассеты наборные для сборки аккумуляторных батарей 18650, 1 ячейка</t>
  </si>
  <si>
    <t>УТ000055216</t>
  </si>
  <si>
    <t>Кассеты наборные для сборки аккумуляторных батарей 18650, 3 ячейки</t>
  </si>
  <si>
    <t>УТ000044978</t>
  </si>
  <si>
    <t>Отсек для аккумуляторов 26650 1S1P-P с пинами ET</t>
  </si>
  <si>
    <t>УТ000056056</t>
  </si>
  <si>
    <t>Футляр для аккумуляторов 18650х2 Robiton B2</t>
  </si>
  <si>
    <t xml:space="preserve"> Отсеки целендрических элементов питания, AAA, AA, D, C</t>
  </si>
  <si>
    <t>УТ000057356</t>
  </si>
  <si>
    <t>Отсек для батареек AAх3+AAх3, c проводами</t>
  </si>
  <si>
    <t>УТ000053487</t>
  </si>
  <si>
    <t>Отсек для батареек АА 1S1P-P с пинами ET</t>
  </si>
  <si>
    <t>УТ000053489</t>
  </si>
  <si>
    <t>Отсек для батареек АА 4S1P-L2-W c проводами ET</t>
  </si>
  <si>
    <t>УТ000035361</t>
  </si>
  <si>
    <t>Отсек для батареек ААА 3S1P-W c проводами ET</t>
  </si>
  <si>
    <t>УТ000006387</t>
  </si>
  <si>
    <t>Отсек для батареек АААх1 BH411/BH624</t>
  </si>
  <si>
    <t>УТ000003272</t>
  </si>
  <si>
    <t>Отсек для батареек АААх3 с проводами BH431</t>
  </si>
  <si>
    <t>УТ000035362</t>
  </si>
  <si>
    <t>Отсек для батареек АААх4 c проводами</t>
  </si>
  <si>
    <t>УТ000003273</t>
  </si>
  <si>
    <t>Отсек для батареек АААх4 с проводами</t>
  </si>
  <si>
    <t>УТ000036467</t>
  </si>
  <si>
    <t>Отсек для батареек ААх1S1P-W с проводами +</t>
  </si>
  <si>
    <t>УТ000006384</t>
  </si>
  <si>
    <t>Отсек для батареек ААх2 с проводами</t>
  </si>
  <si>
    <t>УТ000035356</t>
  </si>
  <si>
    <t>Отсек для батареек ААх2S1P-W c проводами +</t>
  </si>
  <si>
    <t>УТ000053488</t>
  </si>
  <si>
    <t>Отсек для батареек ААх3S1P-W c проводами</t>
  </si>
  <si>
    <t>УТ000055508</t>
  </si>
  <si>
    <t>Отсек для батареек ААх4 с проводами</t>
  </si>
  <si>
    <t>УТ000028953</t>
  </si>
  <si>
    <t>Отсек для батареек закрытый  АААх2 выключатель, c проводами 2S1P-BWS  ET</t>
  </si>
  <si>
    <t>УТ000006386</t>
  </si>
  <si>
    <t>Отсек для батареек закрытый  ААх2 выключатель, c проводами</t>
  </si>
  <si>
    <t>УТ000006396</t>
  </si>
  <si>
    <t>Отсек для батареек закрытый  ААх3 выключатель, c проводами</t>
  </si>
  <si>
    <t>УТ000028952</t>
  </si>
  <si>
    <t>УТ000054156</t>
  </si>
  <si>
    <t>Отсек для батареек закрытый  ААх4 выключатель, c проводами BH341+</t>
  </si>
  <si>
    <t>УТ000057357</t>
  </si>
  <si>
    <t>Отсек для батареек закрытый  ААх4 выключатель, c проводами BH640+ (53636)</t>
  </si>
  <si>
    <t>УТ000016121</t>
  </si>
  <si>
    <t>Отсек для батареек круглый АААх3 ZH215</t>
  </si>
  <si>
    <t>УТ000058922</t>
  </si>
  <si>
    <t>Отсек для батареек круглый АААх3 ZH215-1</t>
  </si>
  <si>
    <t>УТ000057656</t>
  </si>
  <si>
    <t>Отсек для батареек круглый ААх3 ZH215</t>
  </si>
  <si>
    <t>УТ000057657</t>
  </si>
  <si>
    <t>Отсек для батареек круглый ААх3 ZH215-1</t>
  </si>
  <si>
    <t>УТ000054154</t>
  </si>
  <si>
    <t>Отсек для батареек с крышкой  АAАх2 (70x35x14) выключатель, белый</t>
  </si>
  <si>
    <t>УТ000054152</t>
  </si>
  <si>
    <t>Отсек для батареек с крышкой  ААх2 (84x44x18) выключатель, белый</t>
  </si>
  <si>
    <t>УТ000054153</t>
  </si>
  <si>
    <t>Отсек для батареек с крышкой  ААх4 (92x78x18) выключатель, белый</t>
  </si>
  <si>
    <t>УТ000016120</t>
  </si>
  <si>
    <t>Отсек для батареек с крышкой ААх2 (75x44x18) черный</t>
  </si>
  <si>
    <t xml:space="preserve"> Отсеки, разьемы для батареек 6F22 , Крона</t>
  </si>
  <si>
    <t>УТ000006392</t>
  </si>
  <si>
    <t>Отсек для батареек 6F22, Крона пластиковый корпус с проводами</t>
  </si>
  <si>
    <t>УТ000016098</t>
  </si>
  <si>
    <t>Разъем крона, тип Т, пластик</t>
  </si>
  <si>
    <t>УТ000016055</t>
  </si>
  <si>
    <t>Разъем крона, тип Т, провод 100мм (5)</t>
  </si>
  <si>
    <t xml:space="preserve"> Вентиляторы осевые</t>
  </si>
  <si>
    <t xml:space="preserve"> Вентиляторы AC</t>
  </si>
  <si>
    <t>УТ000042765</t>
  </si>
  <si>
    <t>Вентилятор 120х120х38, 220В AC, QA 12038 HSL</t>
  </si>
  <si>
    <t xml:space="preserve"> Вентиляторы DC</t>
  </si>
  <si>
    <t>УТ000011594</t>
  </si>
  <si>
    <t>Вентилятор  25x25x10, 12В DC, 0,09A, подшипник скольжения, RQD 2510MS 12VDC</t>
  </si>
  <si>
    <t>УТ000028207</t>
  </si>
  <si>
    <t>Вентилятор  25x25x10, 5В DC, подшипник скольжения, RQD 2510MS 5VDC</t>
  </si>
  <si>
    <t>УТ000054696</t>
  </si>
  <si>
    <t>Вентилятор  35x35x10, 12В DC 0.15A, разъем 2Pin, гнездо  2,54мм  RQD 3510MS, улитка</t>
  </si>
  <si>
    <t>УТ000011586</t>
  </si>
  <si>
    <t>Вентилятор  40x40x10, 12В DC, 0,08A, подшипник скольжения, RQD 4010MS 12VDC</t>
  </si>
  <si>
    <t>УТ000054712</t>
  </si>
  <si>
    <t>Вентилятор  40x40x10, 12В DC, 0,08A, подшипник скольжения, RQU 4010MS 12VDC, улитка</t>
  </si>
  <si>
    <t>УТ000056815</t>
  </si>
  <si>
    <t>Вентилятор  40x40x10, 12В DC, разъем 2Pin, гнездо  2,54мм</t>
  </si>
  <si>
    <t>УТ000011589</t>
  </si>
  <si>
    <t>Вентилятор  40x40x10, 24В DC, 0,08A, подшипник скольжения, RQD 4010MS 24VDC</t>
  </si>
  <si>
    <t>УТ000056816</t>
  </si>
  <si>
    <t>Вентилятор  40x40x10, 24В DC, разъем 2Pin, гнездо  2,54мм</t>
  </si>
  <si>
    <t>УТ000048544</t>
  </si>
  <si>
    <t>Вентилятор  40x40x10, 5В DC, 0,11A, подшипник скольжения, RQD 4010MS 5VDC</t>
  </si>
  <si>
    <t>УТ000055336</t>
  </si>
  <si>
    <t>Вентилятор  40x40x10, 5В DC, 0,11A, подшипник скольжения, RQU 4010MS 5VDC, улитка</t>
  </si>
  <si>
    <t>УТ000056819</t>
  </si>
  <si>
    <t>Вентилятор  40x40x10, 5В DC, питание разъем USB</t>
  </si>
  <si>
    <t>УТ000056814</t>
  </si>
  <si>
    <t>Вентилятор  40x40x10, 5В DC, разъем 2Pin, гнездо 2,54мм</t>
  </si>
  <si>
    <t>УТ000054298</t>
  </si>
  <si>
    <t>Вентилятор  40x40x20, 12В DC, 0,08A, подшипник скольжения, RQU 4020MS 12VDC (улитка)</t>
  </si>
  <si>
    <t>УТ000011591</t>
  </si>
  <si>
    <t>Вентилятор  50x50x10, 12В DC, 0,07A, подшипник скольжения, RQD 5010MS 12VDC</t>
  </si>
  <si>
    <t>УТ000054301</t>
  </si>
  <si>
    <t>Вентилятор  50x50x10, 12В DC, 0,07A, подшипник скольжения, RQU 5010HS 12VDC (улитка)</t>
  </si>
  <si>
    <t>УТ000054708</t>
  </si>
  <si>
    <t>Вентилятор  50x50x10, 24В DC, подшипник скольжения, RQD 5010MS 24VDC (улитка)</t>
  </si>
  <si>
    <t>УТ000011590</t>
  </si>
  <si>
    <t>Вентилятор  50x50x15, 12В DC, подшипник скольжения, RQD 5015MS 0.15A 12VDC</t>
  </si>
  <si>
    <t>УТ000055177</t>
  </si>
  <si>
    <t>Вентилятор  50x50x15, 5В DC, подшипник скольжения, RQD 5015MS 0.25A 5VDC</t>
  </si>
  <si>
    <t>УТ000053637</t>
  </si>
  <si>
    <t>Вентилятор  50x50x15, 5В DC, подшипник скольжения, RQD 5015MS 5VDC (улитка)</t>
  </si>
  <si>
    <t>УТ000011584</t>
  </si>
  <si>
    <t>Вентилятор  60x60x10, 12В DC, подшипник скольжения, RQD 6010MS 12VDC</t>
  </si>
  <si>
    <t>УТ000051254</t>
  </si>
  <si>
    <t>Вентилятор  60x60x10, 5В DC, подшипник скольжения, RQD 6010MS 5VDC</t>
  </si>
  <si>
    <t>УТ000011581</t>
  </si>
  <si>
    <t>Вентилятор  60x60x20, 12В DC, 0,13A, подшипник скольжения, RQD 6020MS 12VDC</t>
  </si>
  <si>
    <t>УТ000011593</t>
  </si>
  <si>
    <t>Вентилятор  60x60x25, 12В DC, 0,14A, подшипник скольжения, RQD 6025MS 12VDC</t>
  </si>
  <si>
    <t>УТ000056820</t>
  </si>
  <si>
    <t>Вентилятор  60x60x25, 5В DC, питание разъем USB</t>
  </si>
  <si>
    <t>УТ000048691</t>
  </si>
  <si>
    <t>Вентилятор  70x70x15, 12В DC, 0,12A, подшипник скольжения, RQD 7015MS 12VDC</t>
  </si>
  <si>
    <t>УТ000048692</t>
  </si>
  <si>
    <t>Вентилятор  70x70x15, 24В DC, 0,10A, подшипник скольжения, RQD 7015MS 24VDC</t>
  </si>
  <si>
    <t>УТ000048689</t>
  </si>
  <si>
    <t>Вентилятор  70x70x25, 12В DC, подшипник скольжения, RQD 7025MS 0.16A 12VDC</t>
  </si>
  <si>
    <t>УТ000057898</t>
  </si>
  <si>
    <t>Вентилятор  70x70x25, 5В DC, питание разъем USB</t>
  </si>
  <si>
    <t>УТ000054697</t>
  </si>
  <si>
    <t>Вентилятор  75x75x30, 24В DC, 0,07A, подшипник скольжения, RQU 7530MS 24VDC (улитка)</t>
  </si>
  <si>
    <t>УТ000055886</t>
  </si>
  <si>
    <t>Вентилятор  75x75x30, 5В DC, 0,07A, подшипник скольжения, RQU 7530MS 5VDC (улитка)</t>
  </si>
  <si>
    <t>УТ000011575</t>
  </si>
  <si>
    <t>Вентилятор  80x80x25, 12В DC, 0,14A, подшипник скольжения, RQD 8025MS 12VDC</t>
  </si>
  <si>
    <t>УТ000011571</t>
  </si>
  <si>
    <t>Вентилятор  80x80x25, 12В DC, 0,18A, подшипник качения, RQD 8025HS 12VDC</t>
  </si>
  <si>
    <t>УТ000011570</t>
  </si>
  <si>
    <t>Вентилятор  80x80x25, 24В DC, подшипник скольжения, RQD 8025MS 0.08A 24VDC</t>
  </si>
  <si>
    <t>УТ000057899</t>
  </si>
  <si>
    <t>Вентилятор  80x80x25, 5В DC, питание разъем USB</t>
  </si>
  <si>
    <t>УТ000011568</t>
  </si>
  <si>
    <t>Вентилятор  92x92x25, 12В DC, 0,20A, подшипник качения, RQD 9225HS 12VDC</t>
  </si>
  <si>
    <t>УТ000056817</t>
  </si>
  <si>
    <t>Вентилятор  92x92x25, 12В DC, разъем 2Pin, гнездо  2,54мм</t>
  </si>
  <si>
    <t>УТ000011569</t>
  </si>
  <si>
    <t>Вентилятор  92x92x25, 24В DC, подшипник скольжения, RQD 9225MS 24VDC</t>
  </si>
  <si>
    <t>УТ000056818</t>
  </si>
  <si>
    <t>Вентилятор  92x92x25, 24В DC, разъем 2Pin, гнездо  2,54мм</t>
  </si>
  <si>
    <t>УТ000056821</t>
  </si>
  <si>
    <t>Вентилятор  92x92x25, 5В DC, питание разъем USB</t>
  </si>
  <si>
    <t>УТ000033635</t>
  </si>
  <si>
    <t>Вентилятор 120x120x25, 12В DC, подшипник скольжения, RQD 12025MS 12VDC</t>
  </si>
  <si>
    <t>УТ000057896</t>
  </si>
  <si>
    <t>Вентилятор 120x120x25, 5В DC, питание разъем USB</t>
  </si>
  <si>
    <t>УТ000014927</t>
  </si>
  <si>
    <t>Вентилятор 120х120х25, 24В DC, 0,17А, подшипник скольжения, RQD 12025MS 24VDC</t>
  </si>
  <si>
    <t>УТ000057897</t>
  </si>
  <si>
    <t>Вентилятор 140x140x25, 5В DC, питание разъем USB</t>
  </si>
  <si>
    <t xml:space="preserve"> Решетки вентилятора</t>
  </si>
  <si>
    <t>УТ000053644</t>
  </si>
  <si>
    <t>Решетка для вентилятора 92x92мм</t>
  </si>
  <si>
    <t xml:space="preserve"> Динамики, микрофоны</t>
  </si>
  <si>
    <t xml:space="preserve"> Динамики, менее 1Вт</t>
  </si>
  <si>
    <t>УТ000050675</t>
  </si>
  <si>
    <t>Головка электродинамическая, динамик 11х15мм 8Ом 1Вт S1587</t>
  </si>
  <si>
    <t>УТ000050671</t>
  </si>
  <si>
    <t>Головка электродинамическая, динамик 15х24мм 8Ом 0,8Вт S1388</t>
  </si>
  <si>
    <t>УТ000050672</t>
  </si>
  <si>
    <t>Головка электродинамическая, динамик Ø16мм 8Ом 0,8Вт S1396</t>
  </si>
  <si>
    <t>УТ000050673</t>
  </si>
  <si>
    <t>Головка электродинамическая, динамик Ø18мм 8Ом 0,8Вт S1398</t>
  </si>
  <si>
    <t xml:space="preserve"> Диоды, диодные мосты, стабилитроны</t>
  </si>
  <si>
    <t xml:space="preserve"> Диодные мосты</t>
  </si>
  <si>
    <t>УТ000030199</t>
  </si>
  <si>
    <t>Выпрямительный диодный мост KBU810 8A 1000V</t>
  </si>
  <si>
    <t>УТ000053931</t>
  </si>
  <si>
    <t>Диодный мост KBPC3506 35A 600V (BR350)</t>
  </si>
  <si>
    <t>УТ000055774</t>
  </si>
  <si>
    <t>Мост диодный GBU1510 15A 1000V</t>
  </si>
  <si>
    <t xml:space="preserve"> Кнопки, тумблеры, переключатели</t>
  </si>
  <si>
    <t xml:space="preserve"> Кнопки антивандальные</t>
  </si>
  <si>
    <t>УТ000057505</t>
  </si>
  <si>
    <t>Антивандальный поворотный переключатель OFF-(ON), под ключ (5)</t>
  </si>
  <si>
    <t xml:space="preserve"> Кнопки с фиксацией</t>
  </si>
  <si>
    <t>00410050482</t>
  </si>
  <si>
    <t>Кнопка PBS-11А круг., с  фиксацией, зелёная (№12)</t>
  </si>
  <si>
    <t xml:space="preserve"> Переключатель клавишный</t>
  </si>
  <si>
    <t>УТ000056272</t>
  </si>
  <si>
    <t>Клавишный переключатель 	KCD4-203N-C6-R/6P on-off-on красный</t>
  </si>
  <si>
    <t>УТ000050371</t>
  </si>
  <si>
    <t>Клавишный переключатель 3 конт. XW-604EA1 BOA6C, h=21мм, желтый</t>
  </si>
  <si>
    <t>УТ000056007</t>
  </si>
  <si>
    <t>Клавишный переключатель 3 конт. XW-604EA1 BRA6C, h=21мм, красный</t>
  </si>
  <si>
    <t>УТ000051315</t>
  </si>
  <si>
    <t>Клавишный переключатель KCD1-101-5-C3-B/2P ON-OFF круглый, клавиша черного цвета</t>
  </si>
  <si>
    <t>УТ000051316</t>
  </si>
  <si>
    <t>Клавишный переключатель KCD1-101-5-C3-R/2P ON-OFF круглый, клавиша красного цвета (5)</t>
  </si>
  <si>
    <t>УТ000051317</t>
  </si>
  <si>
    <t>Клавишный переключатель KCD1-101-C1-B/2P ON-OFF прямоугольный, клавиша черного цвета</t>
  </si>
  <si>
    <t>УТ000051318</t>
  </si>
  <si>
    <t>Клавишный переключатель KCD1-101N-C3-R/3P ON-OFF прямоугольный, клавиша красного цвета с подсветкой</t>
  </si>
  <si>
    <t>УТ000051319</t>
  </si>
  <si>
    <t>Клавишный переключатель KCD1-102-C3-B/3P ON-ON</t>
  </si>
  <si>
    <t>УТ000050368</t>
  </si>
  <si>
    <t>Клавишный переключатель KCD3-604BA1 BEA6C, 3PIN зеленый</t>
  </si>
  <si>
    <t>УТ000050367</t>
  </si>
  <si>
    <t>Клавишный переключатель KCD3-604BA1 BOA6C, 3PIN желтый</t>
  </si>
  <si>
    <t>УТ000050366</t>
  </si>
  <si>
    <t>Клавишный переключатель KCD3-604BA1 BRA6C, 3PIN красный</t>
  </si>
  <si>
    <t>УТ000049542</t>
  </si>
  <si>
    <t>Клавишный переключатель KCD3-604DA1 BEA6C, 6PIN двойной, зеленый</t>
  </si>
  <si>
    <t>УТ000049541</t>
  </si>
  <si>
    <t>Клавишный переключатель KCD3-604DA1 BOA6C, 6PIN двойной, желтый</t>
  </si>
  <si>
    <t>УТ000049540</t>
  </si>
  <si>
    <t>Клавишный переключатель KCD3-604DA1 BRA6C, 6PIN двойной, красный</t>
  </si>
  <si>
    <t>УТ000056270</t>
  </si>
  <si>
    <t>Клавишный переключатель KCD4-201N-C3-R/4P on-off красный</t>
  </si>
  <si>
    <t>УТ000055425</t>
  </si>
  <si>
    <t>Клавишный переключатель KCD4-604AA1 BEA6C, 4PIN широкий, зеленый</t>
  </si>
  <si>
    <t>УТ000055424</t>
  </si>
  <si>
    <t>Клавишный переключатель KCD4-604AA1 BOA6C, 4PIN широкий, желтый</t>
  </si>
  <si>
    <t>УТ000050369</t>
  </si>
  <si>
    <t>Клавишный переключатель KCD4-604AA1 BRA6C, 4PIN широкий, красный</t>
  </si>
  <si>
    <t>УТ000055426</t>
  </si>
  <si>
    <t>Клавишный переключатель KCD4-604AA1 BUA6C, 4PIN широкий, синий</t>
  </si>
  <si>
    <t>УТ000053460</t>
  </si>
  <si>
    <t>Клавишный переключатель KCD4-604AA2 BEA6C, 6PIN зеленый</t>
  </si>
  <si>
    <t>00410050566</t>
  </si>
  <si>
    <t>Клавишный переключатель KCD4-604AA2 BRA6C 6PIN ON-ON, 220V жёлтый (Sc-767)</t>
  </si>
  <si>
    <t>УТ000053459</t>
  </si>
  <si>
    <t>Клавишный переключатель KCD4-604AA2 BRA6C, 6PIN красный</t>
  </si>
  <si>
    <t>00410057637</t>
  </si>
  <si>
    <t>Клавишный переключатель SC-797 6PIN ON-OFF индикация на 220V двойной красный-зеленый</t>
  </si>
  <si>
    <t>УТ000011452</t>
  </si>
  <si>
    <t>Клавишный переключатель КСD1-603AB1 BBA1C 2PIN, ON-OF, черный (№3)</t>
  </si>
  <si>
    <t>УТ000011451</t>
  </si>
  <si>
    <t>Клавишный переключатель КСD1-603AB1 BRA1C 2PIN, ON-OF, черно-красный (№3)</t>
  </si>
  <si>
    <t xml:space="preserve"> Тактовые кнопки</t>
  </si>
  <si>
    <t>УТ000055782</t>
  </si>
  <si>
    <t>Кнопка тактовая SMD 4х4х1.5 IT-1187</t>
  </si>
  <si>
    <t>УТ000018898</t>
  </si>
  <si>
    <t>Кнопка тактовая SMD 5х5х1.5 IT-1187U</t>
  </si>
  <si>
    <t>УТ000016005</t>
  </si>
  <si>
    <t>Кнопка тактовая SMD 6х3х2.5 IT-1181A</t>
  </si>
  <si>
    <t>УТ000011470</t>
  </si>
  <si>
    <t>Кнопка тактовая SMD 6х3х3.5мм боковая IT-1188E</t>
  </si>
  <si>
    <t>УТ000055778</t>
  </si>
  <si>
    <t>Кнопка тактовая SMD 6х6х4.3 IT-1102W</t>
  </si>
  <si>
    <t>УТ000055780</t>
  </si>
  <si>
    <t>Кнопка тактовая SMD 6х6х7 IT-1102WB</t>
  </si>
  <si>
    <t>УТ000055781</t>
  </si>
  <si>
    <t>Кнопка тактовая SMD 6х6х9.5 IT-1102WD</t>
  </si>
  <si>
    <t xml:space="preserve"> Тумблеры</t>
  </si>
  <si>
    <t>00410050575</t>
  </si>
  <si>
    <t>Тумблер KN3(A)-101 2PIN ON-OFF 3А 250В</t>
  </si>
  <si>
    <t>00410050580</t>
  </si>
  <si>
    <t>Тумблер KN3(C)-203P 6PIN ON-OFF-ON 3A 250В</t>
  </si>
  <si>
    <t>УТ000055785</t>
  </si>
  <si>
    <t>Тумблер MTS-101 2PIN ON-OFF</t>
  </si>
  <si>
    <t>УТ000018997</t>
  </si>
  <si>
    <t>Тумблер MTS-102 3PIN ON-ON</t>
  </si>
  <si>
    <t>УТ000000315</t>
  </si>
  <si>
    <t>Тумблер MTS-103 3PIN ON-OFF-ON</t>
  </si>
  <si>
    <t>УТ000055786</t>
  </si>
  <si>
    <t>Тумблер SMTS-101 2PIN ON-OFF</t>
  </si>
  <si>
    <t>УТ000005406</t>
  </si>
  <si>
    <t>Тумблер SMTS-102 3PIN ON-ON</t>
  </si>
  <si>
    <t xml:space="preserve"> Корпуса, корпусные компоненты</t>
  </si>
  <si>
    <t xml:space="preserve"> Корпуса</t>
  </si>
  <si>
    <t>УТ000058056</t>
  </si>
  <si>
    <t>Радиатор-корпус 45х70х100мм BLA457-100</t>
  </si>
  <si>
    <t>УТ000058057</t>
  </si>
  <si>
    <t>Радиатор-корпус 45х70х150мм BLA457-150</t>
  </si>
  <si>
    <t xml:space="preserve"> Ножки приборные</t>
  </si>
  <si>
    <t>УТ000058855</t>
  </si>
  <si>
    <t>Ножки приборные 10.5x8.6x2.5мм SF-007 (4)</t>
  </si>
  <si>
    <t>УТ000058854</t>
  </si>
  <si>
    <t>Ножки приборные 12.7x7x6мм SF-005 (4)</t>
  </si>
  <si>
    <t>УТ000058856</t>
  </si>
  <si>
    <t>Ножки приборные 20.5x14x7.6мм SF-006 (4)</t>
  </si>
  <si>
    <t>УТ000058853</t>
  </si>
  <si>
    <t>Ножки приборные противоскользящие S200503 (4)</t>
  </si>
  <si>
    <t xml:space="preserve"> Модули</t>
  </si>
  <si>
    <t xml:space="preserve"> Ардуино контроллеры, модули, датчики</t>
  </si>
  <si>
    <t xml:space="preserve"> Ардуино датчики</t>
  </si>
  <si>
    <t>УТ000054285</t>
  </si>
  <si>
    <t>Датчик освещенности регулируемый, фоторезистор регулируемый EM-408</t>
  </si>
  <si>
    <t>УТ000038053</t>
  </si>
  <si>
    <t>Модуль для Ардуино ИК датчик движения HC-SR501 DC 5-20В, 120°, до 7м B222 EM-515</t>
  </si>
  <si>
    <t xml:space="preserve"> Ардуино драйверы двигателей</t>
  </si>
  <si>
    <t>УТ000055379</t>
  </si>
  <si>
    <t>Плата управления шаговым двигателем В3192</t>
  </si>
  <si>
    <t xml:space="preserve"> Ардуино контроллеры, платы расширения</t>
  </si>
  <si>
    <t>УТ000054493</t>
  </si>
  <si>
    <t>Кабель для Ардуино UNO USB 2.0 AM-BM 0.5м экранированный, синяя оплетка</t>
  </si>
  <si>
    <t>УТ000054412</t>
  </si>
  <si>
    <t>Контроллер Arduino Nano v3.0 ATMEGA328P,  CH340, microUSB</t>
  </si>
  <si>
    <t>УТ000027559</t>
  </si>
  <si>
    <t>Контроллер Arduino Nano v3.0 ATMEGA328P,  CH340, miniUSB, с кабелем 30см</t>
  </si>
  <si>
    <t xml:space="preserve"> Ардуино модули</t>
  </si>
  <si>
    <t>УТ000053638</t>
  </si>
  <si>
    <t>Генератор импульсов, регулировка частоты, Uпит 5...12В, NE555 EM-169</t>
  </si>
  <si>
    <t>УТ000053639</t>
  </si>
  <si>
    <t>Генератор прямоугольных импульсов, регулировка частоты и скважности, Uпит 5...12В, NE555 EM-405</t>
  </si>
  <si>
    <t>УТ000054248</t>
  </si>
  <si>
    <t>Генератор сигнала 1Hz-150Khz 3.3-30В дисплей XY-LPWM</t>
  </si>
  <si>
    <t xml:space="preserve"> Ардуино модули управления</t>
  </si>
  <si>
    <t>УТ000055182</t>
  </si>
  <si>
    <t>Модуль MOSFET ключа  выходного полевого транзистора MOS 1А, IRF520</t>
  </si>
  <si>
    <t>УТ000054247</t>
  </si>
  <si>
    <t>Модуль MOSFET ключа AOD4184 5-36В 15А 400Вт KZY4807M</t>
  </si>
  <si>
    <t xml:space="preserve"> Модули MP3, Bluetooth</t>
  </si>
  <si>
    <t>УТ000052903</t>
  </si>
  <si>
    <t>Модуль MP3 bluetooth/aux/usb/fm, 5В ЕLМА-035</t>
  </si>
  <si>
    <t xml:space="preserve"> Модули заряда, индикаторы заряда li-ion, li-po аккумуляторов</t>
  </si>
  <si>
    <t>УТ000055883</t>
  </si>
  <si>
    <t>Индикатор емкости литиевой батареи, для сборок 12-60В, 48x29x16мм, красные цифры</t>
  </si>
  <si>
    <t>УТ000050554</t>
  </si>
  <si>
    <t>Индикатор емкости литиевой батареи, для сборок 1S-8S, синее свечение DL18S Blue</t>
  </si>
  <si>
    <t>УТ000053099</t>
  </si>
  <si>
    <t>Модуль бесперебойного питания, для аккумулятора 18650</t>
  </si>
  <si>
    <t>УТ000051258</t>
  </si>
  <si>
    <t>Модуль заряда Li-Ion акб, гнездо microUSB TP4056, повышающий преобразователь 4,3-27В (5)</t>
  </si>
  <si>
    <t>УТ000056832</t>
  </si>
  <si>
    <t>Модуль контроля заряд/разряд BMS 1S MOS-3 5A, Li-Ion</t>
  </si>
  <si>
    <t>УТ000056833</t>
  </si>
  <si>
    <t>Модуль контроля заряд/разряд BMS 1S MOS-4 7.5A, Li-Ion</t>
  </si>
  <si>
    <t>УТ000049576</t>
  </si>
  <si>
    <t>Модуль контроля заряд/разряд BMS 2S 4A Li-Ion</t>
  </si>
  <si>
    <t>УТ000054251</t>
  </si>
  <si>
    <t>Модуль контроля заряд/разряд BMS 2S 5A Li-Ion</t>
  </si>
  <si>
    <t>УТ000054377</t>
  </si>
  <si>
    <t>Модуль контроля заряд/разряд BMS 2S 8A Li-Ion</t>
  </si>
  <si>
    <t>УТ000046909</t>
  </si>
  <si>
    <t>Модуль контроля заряд/разряд BMS 3S 40A Li-ion, Balanced</t>
  </si>
  <si>
    <t>УТ000054329</t>
  </si>
  <si>
    <t>Модуль контроля заряд/разряд BMS 3S 8A Li-Ion</t>
  </si>
  <si>
    <t>УТ000046910</t>
  </si>
  <si>
    <t>Модуль контроля заряд/разряд BMS 4S 40A Li-Ion</t>
  </si>
  <si>
    <t>УТ000036603</t>
  </si>
  <si>
    <t>УТ000036599</t>
  </si>
  <si>
    <t>Модуль контроля заряд/разряд BMS 5S, 4S, 3S 100A, 12.6 - 21V Balanced Li-Ion</t>
  </si>
  <si>
    <t xml:space="preserve"> Модули зарядки смартфона</t>
  </si>
  <si>
    <t>УТ000055375</t>
  </si>
  <si>
    <t>Модуль быстрой зарядки PD Power Delivery Type-С, 12В, металлизированные контакты</t>
  </si>
  <si>
    <t>УТ000055376</t>
  </si>
  <si>
    <t>Модуль быстрой зарядки PD Power Delivery Type-С, 15В, металлизированные контакты</t>
  </si>
  <si>
    <t>УТ000055377</t>
  </si>
  <si>
    <t>Модуль быстрой зарядки PD Power Delivery Type-С, 20В, металлизированные контакты</t>
  </si>
  <si>
    <t>УТ000055378</t>
  </si>
  <si>
    <t>Модуль быстрой зарядки PD Power Delivery Type-С, 9В, металлизированные контакты</t>
  </si>
  <si>
    <t xml:space="preserve"> Модули питания, стабилизации</t>
  </si>
  <si>
    <t>УТ000058475</t>
  </si>
  <si>
    <t>Модуль гальванической развязки, USB-USB изолятор ADUM3160</t>
  </si>
  <si>
    <t xml:space="preserve"> Модули релейные</t>
  </si>
  <si>
    <t>УТ000054022</t>
  </si>
  <si>
    <t>Релейный модуль 8 каналов, Uпит DC 12В, I нагр до 10А, оптроновая гальвоническая развязка</t>
  </si>
  <si>
    <t>УТ000054021</t>
  </si>
  <si>
    <t>Релейный модуль 8 каналов, Uпит DC 5В, I нагр до 10А, оптроновая гальвоническая развязка</t>
  </si>
  <si>
    <t>УТ000056590</t>
  </si>
  <si>
    <t>Релейный модуль задержки включения питания 12В</t>
  </si>
  <si>
    <t>УТ000056589</t>
  </si>
  <si>
    <t>Фотореле, модуль датчика света 12В/220В 10А, XH-M131</t>
  </si>
  <si>
    <t>УТ000056588</t>
  </si>
  <si>
    <t>Фотореле, модуль датчика света 5В/220В 10А, XH-M131</t>
  </si>
  <si>
    <t xml:space="preserve"> Преобразователи напряжения, повышающие</t>
  </si>
  <si>
    <t>УТ000023597</t>
  </si>
  <si>
    <t>Преобразователь напряж. DC-DC повышающий, микросхема XL6009, регулировка напряжения Uвх=3-32V, Uвых=5-40V, 4A</t>
  </si>
  <si>
    <t>УТ000042270</t>
  </si>
  <si>
    <t>Преобразователь напряж. DC-DC повышающий, регулируемый (Uвх=10-32V, Uвых=12-35V, 6A max)</t>
  </si>
  <si>
    <t xml:space="preserve"> Преобразователи напряжения, понижающие</t>
  </si>
  <si>
    <t>УТ000016122</t>
  </si>
  <si>
    <t>Преобразователь напряж. DC-DC понижающий, микросхема LM 2596S, регулировка напряжения Uвх=4-35V, Uвых=1.5-30V, 3A max</t>
  </si>
  <si>
    <t>УТ000046907</t>
  </si>
  <si>
    <t>Преобразователь напряж. DC-DC понижающий, микросхема XL4015, регулировка напряжения, регулировка тока (Uвх=5-32V, Uвых=0.8-30V, 5Amax)</t>
  </si>
  <si>
    <t xml:space="preserve"> Регулятор мощности, регулятор скорости оборотов двигателя</t>
  </si>
  <si>
    <t>УТ000057024</t>
  </si>
  <si>
    <t>Регулятор мощности AC 4000Вт, Uвх=220В, Uвых=10-220В, 25А, без корпуса</t>
  </si>
  <si>
    <t>УТ000047874</t>
  </si>
  <si>
    <t>Регулятор мощности DC Uвх=12-40В 10Amax</t>
  </si>
  <si>
    <t>УТ000047873</t>
  </si>
  <si>
    <t>Регулятор мощности DC Uвх=6-90В 10Amax</t>
  </si>
  <si>
    <t>УТ000049886</t>
  </si>
  <si>
    <t>Регулятор мощности DC Uвх=6-90В 10Amax EM-712</t>
  </si>
  <si>
    <t>УТ000054015</t>
  </si>
  <si>
    <t>Регулятор мощности, ШИМ контроллер Uвх=6-90В, 20А max</t>
  </si>
  <si>
    <t>УТ000057691</t>
  </si>
  <si>
    <t>Регулятор мощности, ШИМ контроллер Uвх=6-90В, 20А max, , выносной потенциометр (54015)</t>
  </si>
  <si>
    <t xml:space="preserve"> Температурный контроллер</t>
  </si>
  <si>
    <t>УТ000027570</t>
  </si>
  <si>
    <t>Датчик температуры DS18B20 (от-55°C до+ 125°C, Vпит.=3,0-5,5 В)</t>
  </si>
  <si>
    <t xml:space="preserve"> Усилители НЧ</t>
  </si>
  <si>
    <t>УТ000045822</t>
  </si>
  <si>
    <t>Модуль Bluetooth приемник v.4.1, Uпит=3,7-5В, вых AUX,  XY-BT-Mini красный</t>
  </si>
  <si>
    <t>УТ000053102</t>
  </si>
  <si>
    <t>Модуль Bluetooth приемник v.4.1, Uпит=3,7-5В, вых AUX,  XY-BT-Mini черный</t>
  </si>
  <si>
    <t>УТ000054378</t>
  </si>
  <si>
    <t>Модуль Bluetooth приемник v.4.2, Uпит=3,7-5В, вых AUX, MH-MX28</t>
  </si>
  <si>
    <t>УТ000054304</t>
  </si>
  <si>
    <t>Модуль Bluetooth приемник v.4.2, усилитель 2*5W, Uпит=3,7-5В, MH-MX38</t>
  </si>
  <si>
    <t>УТ000058210</t>
  </si>
  <si>
    <t>Модуль регулятора тембра, регулировка звука XH-M802</t>
  </si>
  <si>
    <t>УТ000058212</t>
  </si>
  <si>
    <t>Усилитель НЧ моно D класса, 2*100W, Uпит 8-26В, 4/8 Ом, чип TPA3116D2,  XH-M542</t>
  </si>
  <si>
    <t>УТ000049066</t>
  </si>
  <si>
    <t>Усилитель НЧ стерео D класса, 2*3Вт, Uпит 2.5- 5В, 4/8 Ом, регулировка громкости (PAM8403)</t>
  </si>
  <si>
    <t>УТ000058211</t>
  </si>
  <si>
    <t>Усилитель НЧ стерео D класса, 2*80W, Uпит 12-24В, 4/8 Ом, чип TPA3116D2,  XH-M567</t>
  </si>
  <si>
    <t xml:space="preserve"> Предохранители, варисторы, термостаты</t>
  </si>
  <si>
    <t>00410059088</t>
  </si>
  <si>
    <t>Держатель предохранителя 6*30 мм, со шнуром</t>
  </si>
  <si>
    <t xml:space="preserve"> Предохранители с выводами</t>
  </si>
  <si>
    <t>УТ000055503</t>
  </si>
  <si>
    <t>Предохранитель с выводами 5х20мм 15А H520PT</t>
  </si>
  <si>
    <t>УТ000055512</t>
  </si>
  <si>
    <t>Предохранитель с выводами 5х20мм 1А H520PT</t>
  </si>
  <si>
    <t>УТ000055502</t>
  </si>
  <si>
    <t>Предохранитель с выводами 5х20мм 2А H520PT</t>
  </si>
  <si>
    <t>УТ000055504</t>
  </si>
  <si>
    <t>Предохранитель с выводами 5х20мм 3А H520PT</t>
  </si>
  <si>
    <t xml:space="preserve"> Предохранители стеклянные</t>
  </si>
  <si>
    <t>УТ000054826</t>
  </si>
  <si>
    <t>Предохранитель FUSE 5*20mm  0.63A</t>
  </si>
  <si>
    <t>00410052288</t>
  </si>
  <si>
    <t>Предохранитель FUSE 5*20mm  1,0A</t>
  </si>
  <si>
    <t>00410052292</t>
  </si>
  <si>
    <t>Предохранитель FUSE 5*20mm  5,0A</t>
  </si>
  <si>
    <t>00410052294</t>
  </si>
  <si>
    <t>Предохранитель FUSE 5*20mm  8,0A</t>
  </si>
  <si>
    <t>УТ000052933</t>
  </si>
  <si>
    <t>Предохранитель FUSE 5*20mm 16,0A</t>
  </si>
  <si>
    <t xml:space="preserve"> Термостаты</t>
  </si>
  <si>
    <t xml:space="preserve"> Термостаты c фиксированной температурой</t>
  </si>
  <si>
    <t>УТ000055511</t>
  </si>
  <si>
    <t>Термостат KSD-301 110С 10A (нормально замкнутый, фланец поворотный)</t>
  </si>
  <si>
    <t>УТ000022092</t>
  </si>
  <si>
    <t>Термостат KSD-301 125° 10А (нормально замкнутый, фланец поворотный)</t>
  </si>
  <si>
    <t>УТ000055509</t>
  </si>
  <si>
    <t>Термостат KSD-301 80° 10A НЗ (нормально замкнутый, фланец поворотный)</t>
  </si>
  <si>
    <t>УТ000018974</t>
  </si>
  <si>
    <t>Термостат KSD-301 90° 10А НЗ LBHL (нормально замкнутый, фланец поворотный)</t>
  </si>
  <si>
    <t>УТ000022088</t>
  </si>
  <si>
    <t>Термостат KSD-301 90° 10А НР BHL (нормально замкнутый, без фланца)</t>
  </si>
  <si>
    <t>УТ000055510</t>
  </si>
  <si>
    <t>Термостат KSD-301 95С 10A (нормально замкнутый, фланец поворотный)</t>
  </si>
  <si>
    <t xml:space="preserve"> Радиаторы</t>
  </si>
  <si>
    <t>УТ000043606</t>
  </si>
  <si>
    <t>Радиатор 100x50x15мм</t>
  </si>
  <si>
    <t>УТ000032625</t>
  </si>
  <si>
    <t>Радиатор 100х37х15мм 290кв.см</t>
  </si>
  <si>
    <t>УТ000054828</t>
  </si>
  <si>
    <t>Радиатор 100х43х20мм</t>
  </si>
  <si>
    <t>УТ000043600</t>
  </si>
  <si>
    <t>Радиатор 100х48х14мм HS183-100/BLA099-100</t>
  </si>
  <si>
    <t>УТ000054829</t>
  </si>
  <si>
    <t>Радиатор 150х43х20мм</t>
  </si>
  <si>
    <t>УТ000043601</t>
  </si>
  <si>
    <t>Радиатор 25х48х15мм BLA099-25/HS183-25</t>
  </si>
  <si>
    <t>УТ000053641</t>
  </si>
  <si>
    <t>Радиатор 50х48х15мм HS183-50</t>
  </si>
  <si>
    <t>УТ000043602</t>
  </si>
  <si>
    <t>Радиатор 50х48х15мм HS183-50/BLA099-50</t>
  </si>
  <si>
    <t>УТ000056213</t>
  </si>
  <si>
    <t>Радиатор 75х43х20мм</t>
  </si>
  <si>
    <t>УТ000051567</t>
  </si>
  <si>
    <t>Радиатор алюминиевый с термолентой 10x35x35мм, черный</t>
  </si>
  <si>
    <t>УТ000051560</t>
  </si>
  <si>
    <t>Радиатор алюминиевый с термолентой 5x8.8x8.8мм серебристый Naikos</t>
  </si>
  <si>
    <t>УТ000051561</t>
  </si>
  <si>
    <t>Радиатор алюминиевый с термолентой 5x8.8x8.8мм черный (8217)</t>
  </si>
  <si>
    <t>УТ000051559</t>
  </si>
  <si>
    <t>Радиатор алюминиевый с термолентой 6x14x14мм 8217-3</t>
  </si>
  <si>
    <t xml:space="preserve"> Разъемы, штекеры, гнезда</t>
  </si>
  <si>
    <t xml:space="preserve"> Зажимы "крокодил"</t>
  </si>
  <si>
    <t xml:space="preserve"> Зажимы "крокодил" аккумуляторные</t>
  </si>
  <si>
    <t>00410054888</t>
  </si>
  <si>
    <t>Зажим-Крокодил  134мм с изоляторами, красный/черный, 300А CN-4127 R/B Джетт (комплектом по 2 шт)</t>
  </si>
  <si>
    <t>УТ000058895</t>
  </si>
  <si>
    <t>Зажим-Крокодил  30А, в изоляции, красный/черный, Джетт (комплектом по 2 шт, цена за 1шт)</t>
  </si>
  <si>
    <t>УТ000052318</t>
  </si>
  <si>
    <t>Зажим-Крокодил  48/60мм 5А, в изолятор, красный</t>
  </si>
  <si>
    <t>УТ000058894</t>
  </si>
  <si>
    <t>Зажим-Крокодил  50А, красный/черный, Джетт (комплектом по 2 шт)</t>
  </si>
  <si>
    <t>УТ000051692</t>
  </si>
  <si>
    <t>Зажим-Крокодил  55мм в изоляции красный/черный 5A (комплектом по 2 шт) цена за 1 шт</t>
  </si>
  <si>
    <t>УТ000048242</t>
  </si>
  <si>
    <t>Зажим-Крокодил  70мм с изоляторами, красный/черный, 20А CN-4014 R/B Джетт (комплектом по 2 шт)</t>
  </si>
  <si>
    <t>УТ000054206</t>
  </si>
  <si>
    <t>Зажим-Крокодил  70мм, с изолятором, симметр. красный</t>
  </si>
  <si>
    <t>УТ000054207</t>
  </si>
  <si>
    <t>Зажим-Крокодил  70мм, с изолятором, симметр. черный</t>
  </si>
  <si>
    <t>УТ000025498</t>
  </si>
  <si>
    <t>Зажим-Крокодил  78мм 30А красный</t>
  </si>
  <si>
    <t>УТ000025499</t>
  </si>
  <si>
    <t>Зажим-Крокодил  78мм 30А черный</t>
  </si>
  <si>
    <t>00410054862</t>
  </si>
  <si>
    <t>Зажим-Крокодил  78мм, красный/черный, 30А CN-4023 R/B Джетт (комплектом по 2 шт) +</t>
  </si>
  <si>
    <t>УТ000025500</t>
  </si>
  <si>
    <t>Зажим-Крокодил  88мм 30А красный в изоляции</t>
  </si>
  <si>
    <t>УТ000025501</t>
  </si>
  <si>
    <t>Зажим-Крокодил  88мм 30А черный в изоляции</t>
  </si>
  <si>
    <t>УТ000057771</t>
  </si>
  <si>
    <t>Зажим-Крокодил  98мм красный</t>
  </si>
  <si>
    <t>УТ000048037</t>
  </si>
  <si>
    <t>Зажим-Крокодил  98мм красный/черный (комплектом по 2 шт)</t>
  </si>
  <si>
    <t>00410054884</t>
  </si>
  <si>
    <t>Зажим-Крокодил  98мм с изоляторами, красный/черный, 50А CN-4024 R/B Джетт (комплектом по 2 шт)</t>
  </si>
  <si>
    <t>УТ000057651</t>
  </si>
  <si>
    <t>Зажим-Крокодил  98мм черный</t>
  </si>
  <si>
    <t>УТ000017881</t>
  </si>
  <si>
    <t>Зажим-Крокодил 100мм  50А черный</t>
  </si>
  <si>
    <t>00410054885</t>
  </si>
  <si>
    <t>Зажим-Крокодил 105мм, красный/черный, 100А CN-4027 R/B Джетт (комплектом по 2 шт) +</t>
  </si>
  <si>
    <t>00410054887</t>
  </si>
  <si>
    <t>Зажим-Крокодил 140мм, красный/черный, 200А CN-4026 R/B Джетт (комплектом по 2 шт) +</t>
  </si>
  <si>
    <t>УТ000032133</t>
  </si>
  <si>
    <t>Зажим-Крокодил 148 мм, красный/черный, 500А KG-G17 R/B Джетт (комплектом по 2 шт) +</t>
  </si>
  <si>
    <t xml:space="preserve"> Зажимы "крокодил" приборные</t>
  </si>
  <si>
    <t>УТ000051403</t>
  </si>
  <si>
    <t>Зажим-Крокодил  35мм, пластиковый изолятор, симметр. красный, черный + (58120)</t>
  </si>
  <si>
    <t>УТ000058007</t>
  </si>
  <si>
    <t>Зажим-Крокодил  40мм в изоляции красный/черный (комплектом по 2 шт)</t>
  </si>
  <si>
    <t>УТ000043419</t>
  </si>
  <si>
    <t>Зажим-Крокодил  40мм в резиновой изоляции красный (10)</t>
  </si>
  <si>
    <t>УТ000049046</t>
  </si>
  <si>
    <t>Зажим-Крокодил  55мм 10А красный (10)+</t>
  </si>
  <si>
    <t>УТ000049047</t>
  </si>
  <si>
    <t>Зажим-Крокодил  55мм 10А черный (10)+</t>
  </si>
  <si>
    <t>УТ000048035</t>
  </si>
  <si>
    <t>Зажим-Крокодил 55мм в изоляции красный/черный (комплектом по 2 шт) цена за 1 шт</t>
  </si>
  <si>
    <t>00410054889</t>
  </si>
  <si>
    <t>Зажимы-крокодилы для штекера банан 50мм с пластиковыми изоляторами, 15А, комплект 2 штуки красный и черный</t>
  </si>
  <si>
    <t>УТ000051570</t>
  </si>
  <si>
    <t>Крокодилы для щупа мультиметров D-4мм, BC55-30080</t>
  </si>
  <si>
    <t xml:space="preserve"> Корпусные терминалы, колодки</t>
  </si>
  <si>
    <t>УТ000055213</t>
  </si>
  <si>
    <t>Гнездо HDMI2.0 4K на корпус, высокоскоростной соединительный терминал, металл, серебро</t>
  </si>
  <si>
    <t>УТ000055212</t>
  </si>
  <si>
    <t>Гнездо HDMI2.0 4K на корпус, высокоскоростной соединительный терминал, металл, черный</t>
  </si>
  <si>
    <t>УТ000055210</t>
  </si>
  <si>
    <t>Гнездо USB3.0 на корпус, высокоскоростной соединительный терминал, металл, черный</t>
  </si>
  <si>
    <t>УТ000009697</t>
  </si>
  <si>
    <t>Колодка акустическая, 2 пластиковых зажима 19х38мм</t>
  </si>
  <si>
    <t>УТ000055051</t>
  </si>
  <si>
    <t>Колодка акустическая, 2 пластиковых зажима 55*55мм, крепеж 46*46мм, посадочный диаметр 32мм</t>
  </si>
  <si>
    <t>УТ000009694</t>
  </si>
  <si>
    <t>Колодка акустическая, 4 пластиковых зажима 19х63мм</t>
  </si>
  <si>
    <t>УТ000009693</t>
  </si>
  <si>
    <t>Колодка акустическая, 4 пластиковых зажима 24х70мм</t>
  </si>
  <si>
    <t>УТ000033111</t>
  </si>
  <si>
    <t>Колодка акустическая, 8 пластиковых зажимов 30х58мм</t>
  </si>
  <si>
    <t>УТ000057027</t>
  </si>
  <si>
    <t>Терминал акустических колонок 137мм*90мм, 2 гнезда XLR</t>
  </si>
  <si>
    <t>УТ000058080</t>
  </si>
  <si>
    <t>Терминал акустических колонок 2 гнезда RCA</t>
  </si>
  <si>
    <t>УТ000058081</t>
  </si>
  <si>
    <t>Терминал акустических колонок 4 гнезда RCA</t>
  </si>
  <si>
    <t>УТ000058673</t>
  </si>
  <si>
    <t>Терминал акустических колонок 57*57мм, 2 металлических гнезда "банан"</t>
  </si>
  <si>
    <t>УТ000057025</t>
  </si>
  <si>
    <t>Терминал акустических колонок 57мм*57мм, 2 металлических зажима</t>
  </si>
  <si>
    <t>УТ000057026</t>
  </si>
  <si>
    <t>Терминал акустических колонок D=75 мм, 2 металлических зажима</t>
  </si>
  <si>
    <t>УТ000056495</t>
  </si>
  <si>
    <t>Терминал акустических колонок, 2 пластиковых зажима, 65мм*55мм</t>
  </si>
  <si>
    <t>УТ000056493</t>
  </si>
  <si>
    <t>Терминал акустических колонок, 2 пластиковых зажима, D=30мм</t>
  </si>
  <si>
    <t>УТ000056650</t>
  </si>
  <si>
    <t>Терминал акустических колонок, 2 пластиковых зажима, D=55мм</t>
  </si>
  <si>
    <t xml:space="preserve"> Разъемы Banana</t>
  </si>
  <si>
    <t>УТ000054500</t>
  </si>
  <si>
    <t>Гнездо на корпус BANANA 26,7mm позолоченный красный, под пайку JD-535</t>
  </si>
  <si>
    <t>УТ000054499</t>
  </si>
  <si>
    <t>Гнездо на корпус BANANA 26,7mm позолоченный черный, под пайку JD-535 (5)</t>
  </si>
  <si>
    <t>УТ000051802</t>
  </si>
  <si>
    <t>Штекер BANANA, крепление кабеля на винт, GOLD, 0015, красный (5)</t>
  </si>
  <si>
    <t>УТ000051801</t>
  </si>
  <si>
    <t>Штекер BANANA, крепление кабеля на винт, GOLD, 0015, черный (5)</t>
  </si>
  <si>
    <t>УТ000024395</t>
  </si>
  <si>
    <t>Штекер BANANA, под пайку, GOLD, 0068, красный</t>
  </si>
  <si>
    <t>УТ000024396</t>
  </si>
  <si>
    <t>Штекер BANANA, под пайку, GOLD, 0068, черный</t>
  </si>
  <si>
    <t>УТ000059344</t>
  </si>
  <si>
    <t>Штекер акустический BANANA, L=, крепление на винт, красная полоса, Xangsane (5)</t>
  </si>
  <si>
    <t>УТ000059367</t>
  </si>
  <si>
    <t>Штекер акустический BANANA, L=, крепление на винт, черная полоса, Xangsane (5)</t>
  </si>
  <si>
    <t>УТ000059343</t>
  </si>
  <si>
    <t>Штекер акустический BANANA, L=, перо, крепление на винт, Xangsane</t>
  </si>
  <si>
    <t>УТ000058219</t>
  </si>
  <si>
    <t>Штекер акустический BANANA, L=26, перо, крепление на винт, белая полоса BS26P-BW</t>
  </si>
  <si>
    <t>УТ000058218</t>
  </si>
  <si>
    <t>Штекер акустический BANANA, L=26, перо, крепление на винт, красная полоса BS26P-BR</t>
  </si>
  <si>
    <t>УТ000058215</t>
  </si>
  <si>
    <t>Штекер акустический TIP, L=31,плетеный провод, крепление на винт, белая полоса BTT31P-BW (5)</t>
  </si>
  <si>
    <t>УТ000058214</t>
  </si>
  <si>
    <t>Штекер акустический TIP, L=31,плетеный провод, крепление на винт, красная полоса BTT31P-BR (5)</t>
  </si>
  <si>
    <t>УТ000058217</t>
  </si>
  <si>
    <t>Штекер акустический TIP, L=33, крепление на винт, белая полоса BTT33P-BR (5)</t>
  </si>
  <si>
    <t>УТ000058216</t>
  </si>
  <si>
    <t>Штекер акустический TIP, L=33, крепление на винт, красная полоса BTT33P-BW (5)</t>
  </si>
  <si>
    <t xml:space="preserve"> Разъемы GX</t>
  </si>
  <si>
    <t>УТ000046130</t>
  </si>
  <si>
    <t>Разъем GX12M-4A гнездо 4pin</t>
  </si>
  <si>
    <t>УТ000046131</t>
  </si>
  <si>
    <t>Разъем GX12M-4B штекер 4pin</t>
  </si>
  <si>
    <t>УТ000056262</t>
  </si>
  <si>
    <t>Разъем GX16M-3 штекер 3pin на кабель</t>
  </si>
  <si>
    <t>УТ000046134</t>
  </si>
  <si>
    <t>Разъем GX16M-4A гнездо 4pin</t>
  </si>
  <si>
    <t>УТ000046135</t>
  </si>
  <si>
    <t>Разъем GX16M-4B штекер 4pin</t>
  </si>
  <si>
    <t>УТ000042272</t>
  </si>
  <si>
    <t>Разъем GX16M-5A гнездо на кабель 5pin (10)</t>
  </si>
  <si>
    <t>УТ000042273</t>
  </si>
  <si>
    <t>Разъем GX16M-5B штекер на корпус 5pin (10)</t>
  </si>
  <si>
    <t>УТ000046136</t>
  </si>
  <si>
    <t>Разъем GX16M-6A гнездо на кабель 6pin (10)</t>
  </si>
  <si>
    <t>УТ000046137</t>
  </si>
  <si>
    <t>Разъем GX16M-6B штекер на корпус 6pin (10)</t>
  </si>
  <si>
    <t>УТ000056660</t>
  </si>
  <si>
    <t>Разъем GX18M-4A гнездо 4pin</t>
  </si>
  <si>
    <t>УТ000056661</t>
  </si>
  <si>
    <t>Разъем GX18M-4E штекер 4pin на корпус</t>
  </si>
  <si>
    <t>УТ000056662</t>
  </si>
  <si>
    <t>Разъем GX18M-5A гнездо 5pin</t>
  </si>
  <si>
    <t>УТ000056663</t>
  </si>
  <si>
    <t>Разъем GX18M-5E штекер 5pin на корпус</t>
  </si>
  <si>
    <t xml:space="preserve"> Разъемы microUSB</t>
  </si>
  <si>
    <t>УТ000053676</t>
  </si>
  <si>
    <t>Гнездо microUSB на плате, 5PIN металлизированные контакты</t>
  </si>
  <si>
    <t xml:space="preserve"> Разъемы miniUSB</t>
  </si>
  <si>
    <t>УТ000007005</t>
  </si>
  <si>
    <t>Штекер miniUSB пайка</t>
  </si>
  <si>
    <t xml:space="preserve"> Разъемы Type-C</t>
  </si>
  <si>
    <t>УТ000056837</t>
  </si>
  <si>
    <t>Гнездо TYPE-C на плате, 13PIN металлизированные контакты</t>
  </si>
  <si>
    <t>УТ000057906</t>
  </si>
  <si>
    <t>Гнездо TYPE-C на плате, вертикальный разъем 2.54 4PIN (05-14) (5)</t>
  </si>
  <si>
    <t>УТ000057905</t>
  </si>
  <si>
    <t>Гнездо TYPE-C на плате, горизонтальный разъем 2.54 4PIN (05-17) (5)</t>
  </si>
  <si>
    <t>УТ000057360</t>
  </si>
  <si>
    <t>Гнездо питания TYPE-C установочное на корпус USB 3.1 24PF XH2.54-002</t>
  </si>
  <si>
    <t>УТ000058917</t>
  </si>
  <si>
    <t>Гнездо питания TYPE-C установочное на корпус, 2Pin, защелки, длина 155мм, 2pin-D</t>
  </si>
  <si>
    <t>УТ000056222</t>
  </si>
  <si>
    <t>Гнездо питания TYPE-C установочное на корпус, 2Pin, уши горизонтальные, 24PF C IPX8-001</t>
  </si>
  <si>
    <t>УТ000057911</t>
  </si>
  <si>
    <t>Гнездо питания TYPE-C установочное на корпус, 2Pin, уши горизонтальные, длина 65мм (5)</t>
  </si>
  <si>
    <t>УТ000058918</t>
  </si>
  <si>
    <t>Гнездо питания TYPE-C установочное на корпус, 4Pin, гайка, длина 155мм, 4Pin</t>
  </si>
  <si>
    <t>УТ000056217</t>
  </si>
  <si>
    <t>Гнездо питания TYPE-C установочное на корпус, 4Pin, гайка, длина 155мм, 4Pin-20</t>
  </si>
  <si>
    <t>УТ000056223</t>
  </si>
  <si>
    <t>Гнездо питания TYPE-C установочное на корпус, 6Pin, уши вертикальные, USBA-6F C IPX8-001</t>
  </si>
  <si>
    <t xml:space="preserve"> Разъемы USB</t>
  </si>
  <si>
    <t>УТ000027640</t>
  </si>
  <si>
    <t>Гнездо USB2.0 на плате, SMD 4PIN металлизированные контакты</t>
  </si>
  <si>
    <t>УТ000056836</t>
  </si>
  <si>
    <t>Гнездо USB3.0 на плате, SMD 9PIN металлизированные контакты</t>
  </si>
  <si>
    <t>УТ000058920</t>
  </si>
  <si>
    <t>Гнездо питания USB установочное на корпус, 2Pin, длина 100мм, USB-2Pin-F</t>
  </si>
  <si>
    <t>УТ000058919</t>
  </si>
  <si>
    <t>Гнездо питания USB установочное на корпус, 2Pin, защелки, длина 100мм, USB-2Pin</t>
  </si>
  <si>
    <t>УТ000056218</t>
  </si>
  <si>
    <t>Гнездо питания USB установочное на корпус, 2Pin, защелки, длина 110мм, 2Pin-PH2.0</t>
  </si>
  <si>
    <t>УТ000057913</t>
  </si>
  <si>
    <t>Гнездо питания USB установочное на корпус, 4Pin, монтажная планка (CN-73) (5)</t>
  </si>
  <si>
    <t>УТ000004578</t>
  </si>
  <si>
    <t>Разьем USB 2.0 гнездо на кабель, разборный корпус</t>
  </si>
  <si>
    <t>УТ000007600</t>
  </si>
  <si>
    <t>Разьем USB 2.0 штекер на кабель, разборный корпус</t>
  </si>
  <si>
    <t>УТ000058675</t>
  </si>
  <si>
    <t>Разьем USB 2.0 штекер на кабель, разборный корпус (малый)</t>
  </si>
  <si>
    <t>УТ000058676</t>
  </si>
  <si>
    <t>Разьем USB 2.0 штекер на кабель, разборный корпус, белый (5)</t>
  </si>
  <si>
    <t xml:space="preserve"> Разъемы аудио, видео</t>
  </si>
  <si>
    <t xml:space="preserve"> Разъемы  XLR, miniXLR, SPEACON</t>
  </si>
  <si>
    <t>УТ000049148</t>
  </si>
  <si>
    <t>Гнездо SPEACON пластик, на кабель</t>
  </si>
  <si>
    <t>УТ000049142</t>
  </si>
  <si>
    <t>Гнездо XLR 4pin 80мм на кабель с хомутом</t>
  </si>
  <si>
    <t>УТ000049143</t>
  </si>
  <si>
    <t>Гнездо XLR 5pin 80мм на кабель с хомутом</t>
  </si>
  <si>
    <t>УТ000042264</t>
  </si>
  <si>
    <t>Разьем XLR гнездо 3pin на кабель</t>
  </si>
  <si>
    <t>УТ000042265</t>
  </si>
  <si>
    <t>Разьем XLR штекер 3pin на кабель</t>
  </si>
  <si>
    <t>УТ000049146</t>
  </si>
  <si>
    <t>Штекер SPEACON 68мм пластик, на кабель</t>
  </si>
  <si>
    <t>УТ000049141</t>
  </si>
  <si>
    <t>Штекер XLR 4pin 70мм на кабель с хомутом</t>
  </si>
  <si>
    <t xml:space="preserve"> Разъемы 2,5 Jack</t>
  </si>
  <si>
    <t>УТ000058538</t>
  </si>
  <si>
    <t>Аудио гнездо 2,5 мм (4 pin SMD) стерео на плату PJ-208A</t>
  </si>
  <si>
    <t xml:space="preserve"> Разъемы 3,5 Jack</t>
  </si>
  <si>
    <t>УТ000018956</t>
  </si>
  <si>
    <t>Аудио гнездо 3,5 мм (5 pin) стерео PCB TJ-320</t>
  </si>
  <si>
    <t>00410053215</t>
  </si>
  <si>
    <t>Аудио гнездо 3,5 мм стерео на кабель (5)</t>
  </si>
  <si>
    <t>УТ000009638</t>
  </si>
  <si>
    <t>Аудио гнездо 3,5 мм стерео на кабель металл (5)</t>
  </si>
  <si>
    <t>УТ000058077</t>
  </si>
  <si>
    <t>Штекер 3,5 Jack, 2 pin, моно, металл, золото</t>
  </si>
  <si>
    <t>УТ000030916</t>
  </si>
  <si>
    <t>Штекер 3,5 Jack, 3 pin, стерео, металл, золото (5)</t>
  </si>
  <si>
    <t>УТ000052874</t>
  </si>
  <si>
    <t>Штекер 3,5 Jack, 3 pin, стерео, пластик (5)</t>
  </si>
  <si>
    <t>УТ000057490</t>
  </si>
  <si>
    <t>Штекер 3,5 Jack, 3 pin, стерео, титан (5)</t>
  </si>
  <si>
    <t>УТ000030918</t>
  </si>
  <si>
    <t>Штекер 3,5 Jack, 4 pin, металл (5)</t>
  </si>
  <si>
    <t>УТ000052234</t>
  </si>
  <si>
    <t>Штекер 3,5 Jack, стерео, металл</t>
  </si>
  <si>
    <t xml:space="preserve"> Разъемы 6,3 Jack</t>
  </si>
  <si>
    <t>УТ000030923</t>
  </si>
  <si>
    <t>Штекер аудио Jack 6.3 TRS, стерео, металл, золото (5)</t>
  </si>
  <si>
    <t>00400051797</t>
  </si>
  <si>
    <t>Штекер аудио Jack 6.3 TRS, стерео, металл, никель (5)</t>
  </si>
  <si>
    <t>УТ000049038</t>
  </si>
  <si>
    <t>Штекер аудио Jack 6.3 TRS, стерео, пластик</t>
  </si>
  <si>
    <t>УТ000030921</t>
  </si>
  <si>
    <t>Штекер аудио Jack 6.3 TS, моно, металл, золото (5)</t>
  </si>
  <si>
    <t>УТ000030920</t>
  </si>
  <si>
    <t>Штекер аудио Jack 6.3 TS, моно, металл, никель (5)</t>
  </si>
  <si>
    <t>УТ000030919</t>
  </si>
  <si>
    <t>Штекер аудио Jack 6.3 TS, моно, пластик, под пайку (5)</t>
  </si>
  <si>
    <t>УТ000057492</t>
  </si>
  <si>
    <t>Штекер аудио Jack 6.3 цанга, синий TS, моно (5)</t>
  </si>
  <si>
    <t>УТ000057493</t>
  </si>
  <si>
    <t>Штекер аудио Jack 6.3 цанга, синий, TRS, стерео (5)</t>
  </si>
  <si>
    <t>УТ000048300</t>
  </si>
  <si>
    <t>Штекер аудио Jack 6.3 цанга, черный, TRS, стерео</t>
  </si>
  <si>
    <t>УТ000057495</t>
  </si>
  <si>
    <t>Штекер аудио Jack 6.3, пружина антизалом, под пайку, металл TRS, стерео (5)</t>
  </si>
  <si>
    <t>УТ000057494</t>
  </si>
  <si>
    <t>Штекер аудио Jack 6.3, пружина антизалом, под пайку, металл TS, моно (5)</t>
  </si>
  <si>
    <t xml:space="preserve"> Разъемы BNC</t>
  </si>
  <si>
    <t>УТ000045800</t>
  </si>
  <si>
    <t>Разьем клеммная колодка-штекер BNC под винт с пружиной</t>
  </si>
  <si>
    <t>УТ000051379</t>
  </si>
  <si>
    <t>Штекер BNC под винт пластик</t>
  </si>
  <si>
    <t xml:space="preserve"> Разъемы RCA, Scart, S Video</t>
  </si>
  <si>
    <t>УТ000058078</t>
  </si>
  <si>
    <t>Гнездо RCA тюльпан на корпус, золото, красное/чёрное (10)</t>
  </si>
  <si>
    <t>УТ000059342</t>
  </si>
  <si>
    <t>Защитные колпачки для RCA гнезд, комплек 12шт</t>
  </si>
  <si>
    <t>УТ000057569</t>
  </si>
  <si>
    <t>Штекер RCA тюльпан металл, L=48, под винт, цанговый, карбон, белое кольцо, 46PT-CW</t>
  </si>
  <si>
    <t>УТ000057570</t>
  </si>
  <si>
    <t>Штекер RCA тюльпан металл, L=48, под винт, цанговый, карбон, красное кольцо, 46PT-CR</t>
  </si>
  <si>
    <t>00000004258</t>
  </si>
  <si>
    <t>Штекер Scart 21 pin AL-335</t>
  </si>
  <si>
    <t xml:space="preserve"> Разъемы аудио, для ретро техники DIN</t>
  </si>
  <si>
    <t>УТ000056831</t>
  </si>
  <si>
    <t>Гнездо DIN 5pin, на провод, контакты под пайку</t>
  </si>
  <si>
    <t>УТ000056250</t>
  </si>
  <si>
    <t>Штекер DIN 3pin, на провод, контакты под пайку, пластик-никель</t>
  </si>
  <si>
    <t>УТ000042219</t>
  </si>
  <si>
    <t>Штекер DIN 5pin, на провод, контакты под пайку</t>
  </si>
  <si>
    <t xml:space="preserve"> Разъемы питания DC</t>
  </si>
  <si>
    <t>УТ000058086</t>
  </si>
  <si>
    <t>Гнездо питания установочное на корпус 5,5х2,1мм металл (5)</t>
  </si>
  <si>
    <t>УТ000038736</t>
  </si>
  <si>
    <t>Гнездо питания установочное на корпус 5,5х2,1мм металл-пластик (5)</t>
  </si>
  <si>
    <t>УТ000055556</t>
  </si>
  <si>
    <t>Комплект разъемов питания DC, 8 размеров, вход гнездо 5,5*2,1</t>
  </si>
  <si>
    <t>УТ000055557</t>
  </si>
  <si>
    <t>Комплект разъемов питания DC, 8 размеров, вход штыревой коннектор</t>
  </si>
  <si>
    <t>УТ000005365</t>
  </si>
  <si>
    <t>Разъем питания DC, гнездо 5,5х2,1мм на кабель (5)</t>
  </si>
  <si>
    <t>УТ000011578</t>
  </si>
  <si>
    <t>Разъем питания DC, штекер 3,5х1,4мм (5)</t>
  </si>
  <si>
    <t>УТ000038842</t>
  </si>
  <si>
    <t>Разъем питания DC, штекер 5,5х2,1х9мм пластик (5)</t>
  </si>
  <si>
    <t>УТ000025530</t>
  </si>
  <si>
    <t>Разъем питания DC, штекер 5,5х2,5х9мм пластик (5)</t>
  </si>
  <si>
    <t>УТ000058575</t>
  </si>
  <si>
    <t>Разъем питания, гнездо 5.5x2.1мм с кабелем, длина 300мм</t>
  </si>
  <si>
    <t>УТ000058574</t>
  </si>
  <si>
    <t>Разъем питания, штекер 5.5x2.1мм с кабелем, длина 300мм</t>
  </si>
  <si>
    <t xml:space="preserve"> Разъемы питания сетевые</t>
  </si>
  <si>
    <t>УТ000042255</t>
  </si>
  <si>
    <t>Гнездо сетевое С14 на корпус бокс под предохранитель</t>
  </si>
  <si>
    <t>УТ000055506</t>
  </si>
  <si>
    <t>Гнездо сетевое С14 на корпус с выключателем, вертикальный монтаж, AC-046</t>
  </si>
  <si>
    <t>УТ000042242</t>
  </si>
  <si>
    <t>Гнездо сетевое С14 на корпус с защелками AC-015</t>
  </si>
  <si>
    <t>УТ000056252</t>
  </si>
  <si>
    <t>Гнездо сетевое С16 на корпус, с ушами</t>
  </si>
  <si>
    <t>УТ000058930</t>
  </si>
  <si>
    <t>Гнездо сетевое С6 на корпус, с ушами 250В 10А</t>
  </si>
  <si>
    <t>УТ000042240</t>
  </si>
  <si>
    <t>Гнездо сетевое С8 на корпус</t>
  </si>
  <si>
    <t>УТ000055507</t>
  </si>
  <si>
    <t>Гнездо сетевое С8 на корпус, с выключателем</t>
  </si>
  <si>
    <t>УТ000056254</t>
  </si>
  <si>
    <t>Розетка универсальная Тип А - Тип С, 2-полюсная, Россия, Япония, Китай, США</t>
  </si>
  <si>
    <t>УТ000004664</t>
  </si>
  <si>
    <t>Штекер питания сетевой C13 IEC 320 на кабель, разборный 10А 220V</t>
  </si>
  <si>
    <t>УТ000006426</t>
  </si>
  <si>
    <t>Штекер питания сетевой C7 на кабель разборный, AC-047 (5)</t>
  </si>
  <si>
    <t>УТ000004665</t>
  </si>
  <si>
    <t>Штекер питания сетевой С14 на шнур (5)</t>
  </si>
  <si>
    <t xml:space="preserve"> Разъемы питания силовые, для RC моделей</t>
  </si>
  <si>
    <t>УТ000037850</t>
  </si>
  <si>
    <t>Силовой разьём  XT90F, гнездо до 100А</t>
  </si>
  <si>
    <t>УТ000037848</t>
  </si>
  <si>
    <t>Силовой разьём  XT90M, штекер до 100А</t>
  </si>
  <si>
    <t>УТ000058932</t>
  </si>
  <si>
    <t>Силовые разъемы Deans T-Plug штекер - гнездо, до 40А, комплект Deans M+F (5)</t>
  </si>
  <si>
    <t>УТ000055549</t>
  </si>
  <si>
    <t>Силовые разъемы Deans T-Plug штекер - гнездо, до 50А, комплект AM1015-MR</t>
  </si>
  <si>
    <t>УТ000058931</t>
  </si>
  <si>
    <t>Силовые разъемы Deans T-Plug штекер - гнездо, до 50А, комплект AM1015E-FR (5)</t>
  </si>
  <si>
    <t>УТ000058933</t>
  </si>
  <si>
    <t>Силовые разъемы EC2 штекер - гнездо, до 50А, комплект EC2 M+F/SET (5)</t>
  </si>
  <si>
    <t>УТ000058934</t>
  </si>
  <si>
    <t>Силовые разъемы MR30 штекер - гнездо, 3 pin, до 20А, комплект MR30-MR (5)</t>
  </si>
  <si>
    <t>УТ000058935</t>
  </si>
  <si>
    <t>Силовые разъемы MТ30  штекер - гнездо, 3 pin, до 20А,комплект MT30-MR (5)</t>
  </si>
  <si>
    <t>УТ000057095</t>
  </si>
  <si>
    <t>Силовые разъемы XT30M + XT30F штекер - гнездо, до 15А комплект</t>
  </si>
  <si>
    <t>УТ000057096</t>
  </si>
  <si>
    <t>Силовые разъемы XT90M + XT90F штекер - гнездо, до 50А комплект</t>
  </si>
  <si>
    <t xml:space="preserve"> Разъемы телефонные, компьютерные, сетевые (LAN)</t>
  </si>
  <si>
    <t>00410053880</t>
  </si>
  <si>
    <t>Коннектор 8р8с (RG-45) для UTP кабеля Кат. пластмассовый упак.50шт</t>
  </si>
  <si>
    <t>УТ000049538</t>
  </si>
  <si>
    <t>Розетка компьютерная RJ-45 (8p8c), 2 порта, категория 5е, открытый монтаж</t>
  </si>
  <si>
    <t>00410054841</t>
  </si>
  <si>
    <t>Телефонная розетка + телефонная вилка (комплект ЭЛСЕТ)</t>
  </si>
  <si>
    <t>00000004290</t>
  </si>
  <si>
    <t>Телефонная розетка Евро 1 гнездо 6р4с</t>
  </si>
  <si>
    <t>00400048521</t>
  </si>
  <si>
    <t>Телефонная розетка Евро 2 гнезда 6р4с ЭЛСЕТ</t>
  </si>
  <si>
    <t xml:space="preserve"> Разъемы штыревые</t>
  </si>
  <si>
    <t>УТ000025489</t>
  </si>
  <si>
    <t>Разъем 3 конт., гнездо с проводом, 2.54мм  3Pin</t>
  </si>
  <si>
    <t>УТ000027615</t>
  </si>
  <si>
    <t>Разъем на плату штыревой однорядный штекер-штекер, 40 Pin, шаг 2,54мм прямой</t>
  </si>
  <si>
    <t xml:space="preserve"> Разьемы с клемной колодкой</t>
  </si>
  <si>
    <t>УТ000050088</t>
  </si>
  <si>
    <t>Быстрозажимной пружинный зажим - штекер DC 5,5x2,1мм (20)</t>
  </si>
  <si>
    <t>УТ000056649</t>
  </si>
  <si>
    <t>Быстрозажимной пружинный зажим - штекер RCA</t>
  </si>
  <si>
    <t>УТ000047398</t>
  </si>
  <si>
    <t>Быстрозажимной пружинный разьем - гнездо DC 5,5x2,1мм</t>
  </si>
  <si>
    <t>УТ000053575</t>
  </si>
  <si>
    <t>Разьем клеммная колодка-гнездо DC 2,1х5,5</t>
  </si>
  <si>
    <t>УТ000048524</t>
  </si>
  <si>
    <t>УТ000047961</t>
  </si>
  <si>
    <t>Разьем клеммная колодка-гнездо RCA</t>
  </si>
  <si>
    <t>УТ000032753</t>
  </si>
  <si>
    <t>Разьем клеммная колодка-штекер RCA</t>
  </si>
  <si>
    <t>УТ000048523</t>
  </si>
  <si>
    <t xml:space="preserve"> Резисторы постоянные</t>
  </si>
  <si>
    <t xml:space="preserve"> Резисторы силовые</t>
  </si>
  <si>
    <t>УТ000056291</t>
  </si>
  <si>
    <t>Резистор силовой 1 Ом, 5%, 25W в алюминиевом корпусе RX24</t>
  </si>
  <si>
    <t>УТ000056296</t>
  </si>
  <si>
    <t>Резистор силовой 1 Ом, 5%, 50W в алюминиевом корпусе RX24</t>
  </si>
  <si>
    <t>УТ000056289</t>
  </si>
  <si>
    <t>Резистор силовой 10 Ом, 5%, 25W в алюминиевом корпусе RX24</t>
  </si>
  <si>
    <t>УТ000056294</t>
  </si>
  <si>
    <t>Резистор силовой 10 Ом, 5%, 50W в алюминиевом корпусе RX24</t>
  </si>
  <si>
    <t>УТ000056910</t>
  </si>
  <si>
    <t>Резистор силовой 27 Ом, 5%, 50W в алюминиевом корпусе RX24</t>
  </si>
  <si>
    <t>УТ000056912</t>
  </si>
  <si>
    <t>Резистор силовой 33 Ом, 5%, 50W в алюминиевом корпусе RX24</t>
  </si>
  <si>
    <t>УТ000056297</t>
  </si>
  <si>
    <t>Резистор силовой 6 Ом, 5%, 50W в алюминиевом корпусе RX24</t>
  </si>
  <si>
    <t xml:space="preserve"> Электродвигатели DC, насосы</t>
  </si>
  <si>
    <t xml:space="preserve"> Насосы  погружные</t>
  </si>
  <si>
    <t>УТ000057481</t>
  </si>
  <si>
    <t>Насос погружной мини, вертикальный DC 3-5В, 1.2-1.6л/мин, белый</t>
  </si>
  <si>
    <t>УТ000057482</t>
  </si>
  <si>
    <t>Насос погружной мини, вертикальный USB, 1.2-1.6л/мин, белый</t>
  </si>
  <si>
    <t>УТ000057483</t>
  </si>
  <si>
    <t>Насос погружной мини, горизонтальный DC 3-5В, 1.2-1.6л/мин, черный</t>
  </si>
  <si>
    <t>УТ000057485</t>
  </si>
  <si>
    <t>Насос погружной мини, горизонтальный USB, 1.2-1.6л/мин, черный</t>
  </si>
  <si>
    <t xml:space="preserve"> Электродвигатели DC 2.4В - 24В</t>
  </si>
  <si>
    <t>УТ000037852</t>
  </si>
  <si>
    <t>Электродвигатель F130-08450, DC 12В</t>
  </si>
  <si>
    <t>УТ000054823</t>
  </si>
  <si>
    <t>Электродвигатель F130-08450, DC 6В</t>
  </si>
  <si>
    <t>УТ000054825</t>
  </si>
  <si>
    <t>Электродвигатель F130-13180, DC 5В</t>
  </si>
  <si>
    <t>УТ000052233</t>
  </si>
  <si>
    <t>Электродвигатель F130-1995, DC 2.4В</t>
  </si>
  <si>
    <t>УТ000054824</t>
  </si>
  <si>
    <t>Электродвигатель F280-10440, DC 12В</t>
  </si>
  <si>
    <t>УТ000030935</t>
  </si>
  <si>
    <t>Электродвигатель F280-23100, DC 9В</t>
  </si>
  <si>
    <t>УТ000043867</t>
  </si>
  <si>
    <t>Электродвигатель F280-2580, DC 6В</t>
  </si>
  <si>
    <t>УТ000058928</t>
  </si>
  <si>
    <t>Электродвигатель FF130-11340, DC 9В</t>
  </si>
  <si>
    <t>УТ000055889</t>
  </si>
  <si>
    <t>Электродвигатель R370-17315, DC 6В</t>
  </si>
  <si>
    <t>УТ000055890</t>
  </si>
  <si>
    <t>Электродвигатель R380-09320, DC 24В</t>
  </si>
  <si>
    <t>УТ000057642</t>
  </si>
  <si>
    <t>Электродвигатель R540-30130, DC 12В</t>
  </si>
  <si>
    <t>УТ000057644</t>
  </si>
  <si>
    <t>Электродвигатель R545-2486, DC 24В</t>
  </si>
  <si>
    <t xml:space="preserve"> Электротехнические изделия</t>
  </si>
  <si>
    <t xml:space="preserve"> Вентиляторы вытяжные</t>
  </si>
  <si>
    <t>УТ000040231</t>
  </si>
  <si>
    <t>Вентилятор вытяжной осевой ø100мм (жалюзи) Spark Lux</t>
  </si>
  <si>
    <t>УТ000028329</t>
  </si>
  <si>
    <t>Вентилятор вытяжной осевой ø100мм KGH-100 с выкл. 41665</t>
  </si>
  <si>
    <t>УТ000046505</t>
  </si>
  <si>
    <t>Вентилятор вытяжной осевой ø100мм металлический Spark Lux</t>
  </si>
  <si>
    <t>УТ000046533</t>
  </si>
  <si>
    <t>Вентилятор вытяжной осевой ø100мм с двумя шнуровыми тяговыми выключателями (круглый) Spark Lux</t>
  </si>
  <si>
    <t>УТ000040232</t>
  </si>
  <si>
    <t>Вентилятор вытяжной осевой ø150мм (жалюзи) Spark Lux</t>
  </si>
  <si>
    <t>УТ000052518</t>
  </si>
  <si>
    <t>Вентилятор вытяжной осевой ø150мм Dospel</t>
  </si>
  <si>
    <t>УТ000028330</t>
  </si>
  <si>
    <t>Вентилятор вытяжной осевой ø150мм KGH-150 с выкл. 41666</t>
  </si>
  <si>
    <t>УТ000056237</t>
  </si>
  <si>
    <t>Вентилятор осевой вытяжной D100мм Auramax D4</t>
  </si>
  <si>
    <t>УТ000056239</t>
  </si>
  <si>
    <t>Вентилятор осевой вытяжной D100мм Auramax OPTIMA 4</t>
  </si>
  <si>
    <t>УТ000056238</t>
  </si>
  <si>
    <t>Вентилятор осевой вытяжной D125мм Auramax D5</t>
  </si>
  <si>
    <t>УТ000056240</t>
  </si>
  <si>
    <t>Вентилятор осевой вытяжной D125мм Auramax OPTIMA 5</t>
  </si>
  <si>
    <t>УТ000053845</t>
  </si>
  <si>
    <t>Решетка вентиляционная Spark Lux 180x250мм</t>
  </si>
  <si>
    <t>УТ000056360</t>
  </si>
  <si>
    <t>Решетка вентиляционная Spark Lux 300x300мм</t>
  </si>
  <si>
    <t xml:space="preserve"> Выключатели, розетки, вилки</t>
  </si>
  <si>
    <t xml:space="preserve"> Вилки, штепсельные розетки</t>
  </si>
  <si>
    <t>00400051400</t>
  </si>
  <si>
    <t>Вилка без заземления, белая Makel, 10001 Турция</t>
  </si>
  <si>
    <t>00400051401</t>
  </si>
  <si>
    <t>Вилка без заземления, чёрная Makel, 10051</t>
  </si>
  <si>
    <t>УТ000005024</t>
  </si>
  <si>
    <t>Вилка В6-001 белая, 6А с кембриком</t>
  </si>
  <si>
    <t>УТ000005025</t>
  </si>
  <si>
    <t>Вилка В6-004 белая, 6А</t>
  </si>
  <si>
    <t>УТ000058505</t>
  </si>
  <si>
    <t>Вилка В6-005 белая, 6А с кембриком</t>
  </si>
  <si>
    <t>УТ000022147</t>
  </si>
  <si>
    <t>Вилка Евро с/з с хвостом Веллконт белая</t>
  </si>
  <si>
    <t>УТ000017831</t>
  </si>
  <si>
    <t>Вилка с заземлением, прямая, 16А белая 250В Smartbuy (SBE-16-P01-w)</t>
  </si>
  <si>
    <t>00410055512</t>
  </si>
  <si>
    <t>Вилка с заземлением, прямая, 16А белая Makel, 10002</t>
  </si>
  <si>
    <t>УТ000018380</t>
  </si>
  <si>
    <t>Вилка с заземлением, прямая, 16А черная 250В Smartbuy (SBE-16-P01-b)</t>
  </si>
  <si>
    <t>00410055513</t>
  </si>
  <si>
    <t>Вилка с заземлением, прямая, 16А черная Makel, 10052</t>
  </si>
  <si>
    <t>00410051658</t>
  </si>
  <si>
    <t>Вилка с заземлением, угловая, 16А, белая Makel, 10027 Турция</t>
  </si>
  <si>
    <t>УТ000005027</t>
  </si>
  <si>
    <t>Вилка с заземлением, угловая, 16А, с кембриком белая В16-001</t>
  </si>
  <si>
    <t>УТ000038213</t>
  </si>
  <si>
    <t>Вилка с заземлением, угловая, 16А, с кольцом 250В белая Smartbuy (SBE-16-P03-w)</t>
  </si>
  <si>
    <t>УТ000019370</t>
  </si>
  <si>
    <t>Вилка с заземлением, угловая, 16А, с кольцом 250В черная Smartbuy (SBE-16-P03-b)</t>
  </si>
  <si>
    <t>УТ000019371</t>
  </si>
  <si>
    <t>Вилка с заземлением, угловая, 16А, черная  Smartbuy (SBE-16-P02-b)</t>
  </si>
  <si>
    <t>УТ000048176</t>
  </si>
  <si>
    <t>Вилка электрическая без заземления, карболит Tuna, 16А</t>
  </si>
  <si>
    <t>УТ000048179</t>
  </si>
  <si>
    <t>Вилка электрическая с заземлением угловая Tuna, 16А</t>
  </si>
  <si>
    <t>УТ000022148</t>
  </si>
  <si>
    <t>Вилка-невидимка UNIVERSAL, С/З,16А, белая Китай</t>
  </si>
  <si>
    <t>УТ000022149</t>
  </si>
  <si>
    <t>Вилка-невидимка UNIVERSAL, С/З,16А, чёрная Китай 5565419</t>
  </si>
  <si>
    <t>УТ000040460</t>
  </si>
  <si>
    <t>Гнездо штепсельное Smartbuy с заземлением белый 10А 250В (SBE-16-S01-wz)</t>
  </si>
  <si>
    <t>УТ000049544</t>
  </si>
  <si>
    <t>Штепсельная вилка с выключателем и заземлением FAR F131 16A</t>
  </si>
  <si>
    <t>00400051435</t>
  </si>
  <si>
    <t>Штепсельная розетка без заземления, белая Makel, 10004</t>
  </si>
  <si>
    <t>00410055521</t>
  </si>
  <si>
    <t>Штепсельная розетка без заземления, чёрный Makel, 10054</t>
  </si>
  <si>
    <t>УТ000012180</t>
  </si>
  <si>
    <t>Штепсельная розетка под плоскую вилку белое 6А 250В Smartbuy SBE-2,5-S06-W</t>
  </si>
  <si>
    <t>00400051433</t>
  </si>
  <si>
    <t>Штепсельная розетка с заземлением, белая Makel, 10003</t>
  </si>
  <si>
    <t>00410055522</t>
  </si>
  <si>
    <t>Штепсельная розетка с заземлением, чёрный Makel, 10053</t>
  </si>
  <si>
    <t xml:space="preserve"> Выключатели и диммеры для бра</t>
  </si>
  <si>
    <t>УТ000058801</t>
  </si>
  <si>
    <t>Выключатель для бра 10А 220-250В, белый</t>
  </si>
  <si>
    <t>УТ000051461</t>
  </si>
  <si>
    <t>Выключатель для бра 6А 220-250В, черный</t>
  </si>
  <si>
    <t>УТ000054072</t>
  </si>
  <si>
    <t>Выключатель для бра с цепочкой 15см золото (5)</t>
  </si>
  <si>
    <t>УТ000054073</t>
  </si>
  <si>
    <t>Выключатель для бра с цепочкой 15см хром (5)</t>
  </si>
  <si>
    <t>00400051410</t>
  </si>
  <si>
    <t>Выключатель для бра, белый Makel, (10014)</t>
  </si>
  <si>
    <t>00400051411</t>
  </si>
  <si>
    <t>Выключатель для бра, белый/красный Makel, (10080)</t>
  </si>
  <si>
    <t>00400051412</t>
  </si>
  <si>
    <t>Выключатель для бра, чёрный Makel, (10064)</t>
  </si>
  <si>
    <t>УТ000058008</t>
  </si>
  <si>
    <t>Выключатель на шнур, 6А 220-250В, белый +</t>
  </si>
  <si>
    <t>УТ000049543</t>
  </si>
  <si>
    <t>Выключатель на шнур, белый (15-014)</t>
  </si>
  <si>
    <t>УТ000051320</t>
  </si>
  <si>
    <t>Выключатель на шнур, черный (15-016)</t>
  </si>
  <si>
    <t>УТ000013261</t>
  </si>
  <si>
    <t>Регулятор света, диммер на шнур, белый DAV-102-1</t>
  </si>
  <si>
    <t>УТ000057830</t>
  </si>
  <si>
    <t>Регулятор света, диммер на шнур, черный DAV-101-1</t>
  </si>
  <si>
    <t xml:space="preserve"> Выключатели, розетки бытовые</t>
  </si>
  <si>
    <t>УТ000052746</t>
  </si>
  <si>
    <t>Блок розетка+выключатель одноклавишный О/У, С/З, белый, IP54 АллегроUNIVERSAL</t>
  </si>
  <si>
    <t>УТ000048703</t>
  </si>
  <si>
    <t>Выключатель 1-клавишный 10A IP54 керамика Марс (SBE-02w-10-SW1-0-с)</t>
  </si>
  <si>
    <t>УТ000047825</t>
  </si>
  <si>
    <t>Выключатель 1-клавишный 10A IP54 Марс (SBE-02w-10-SW1-0)</t>
  </si>
  <si>
    <t>УТ000044378</t>
  </si>
  <si>
    <t>Выключатель 1-клавишный 10A IP54 Юпитер (SBE-03w-10-SW1-0)</t>
  </si>
  <si>
    <t>УТ000053042</t>
  </si>
  <si>
    <t>Выключатель 1-клавишный с индикатором 10A IP54 белый Юпитер (SBE-03w-10-SW1-1)</t>
  </si>
  <si>
    <t>УТ000051856</t>
  </si>
  <si>
    <t>Выключатель 1-клавишный с индикатором 10A IP54 Марс (SBE-02w-10-SW1-1)</t>
  </si>
  <si>
    <t>УТ000054133</t>
  </si>
  <si>
    <t>Выключатель 2-клавишный 10A IP54 керамика Марс (SBE-02w-10-SW2-0-с)</t>
  </si>
  <si>
    <t>УТ000044379</t>
  </si>
  <si>
    <t>Выключатель 2-клавишный 10A IP54 Юпитер (SBE-03w-10-SW2-0)</t>
  </si>
  <si>
    <t>00400051407</t>
  </si>
  <si>
    <t>Выключатель двухклавишный О/У, белый, 10А, Makel, Siva Ustu 45103, Турция</t>
  </si>
  <si>
    <t>УТ000019332</t>
  </si>
  <si>
    <t>Выключатель двухклавишный О/У, белый, 10А, Schneider BLANCA, Россия (105011)</t>
  </si>
  <si>
    <t>УТ000046350</t>
  </si>
  <si>
    <t>Выключатель двухклавишный С/У, алюм, 10А, Schneider AtlasDesign ATN000351</t>
  </si>
  <si>
    <t>УТ000046351</t>
  </si>
  <si>
    <t>Выключатель двухклавишный С/У, белый, 10А, Schneider AtlasDesign ATN000151</t>
  </si>
  <si>
    <t>УТ000019333</t>
  </si>
  <si>
    <t>Выключатель двухклавишный С/У, белый, 10А, Schneider BLANCA, Россия (010501)</t>
  </si>
  <si>
    <t>00410056683</t>
  </si>
  <si>
    <t>Выключатель двухклавишный С/У, белый/белый, 10A, Makel, Mimoza,12003, Турция</t>
  </si>
  <si>
    <t>УТ000019330</t>
  </si>
  <si>
    <t>Выключатель одноклавишный О/У, белый, 10А, Schneider BLANCA , Россия (101011)</t>
  </si>
  <si>
    <t>00410053593</t>
  </si>
  <si>
    <t>Выключатель одноклавишный О/У, белый, 10А, проходной, Makel, Siva Ustu 45105, Турция</t>
  </si>
  <si>
    <t>УТ000052748</t>
  </si>
  <si>
    <t>Выключатель одноклавишный О/У, белый, IP54, 10A Аллегро UNIVERSAL</t>
  </si>
  <si>
    <t>00410055515</t>
  </si>
  <si>
    <t>Выключатель одноклавишный С/У, белый , 10А, проходной, Makel, Mimoza 12005/2005, Турция</t>
  </si>
  <si>
    <t>00400051423</t>
  </si>
  <si>
    <t>Выключатель одноклавишный С/У, белый , 10А, с подсветкой, Makel, Mimoza 12021,Турция</t>
  </si>
  <si>
    <t>УТ000046348</t>
  </si>
  <si>
    <t>Выключатель одноклавишный С/У, белый, 10А, Schneider AtlasDesign ATN000111</t>
  </si>
  <si>
    <t>УТ000019331</t>
  </si>
  <si>
    <t>Выключатель одноклавишный С/У, белый, 10А, Schneider BLANCA, Россия (010101)</t>
  </si>
  <si>
    <t>00410056681</t>
  </si>
  <si>
    <t>Выключатель одноклавишный С/У, белый/белый, 10А, Makel, Mimoza 12001, Турция</t>
  </si>
  <si>
    <t>УТ000051858</t>
  </si>
  <si>
    <t>Выключатель проходной 1-клавишный 10A IP54 Марс (SBE-02w-10-SW12-0)</t>
  </si>
  <si>
    <t>УТ000054143</t>
  </si>
  <si>
    <t>Рамка 2-местная горизонтальная  бежевая Марс (SBE-02i-00-FR-2)</t>
  </si>
  <si>
    <t>УТ000051859</t>
  </si>
  <si>
    <t>Рамка 2-местная горизонтальная  белая Марс (SBE-02w-00-FR-2)</t>
  </si>
  <si>
    <t>УТ000054144</t>
  </si>
  <si>
    <t>Рамка 3-местная горизонтальная  бежевая Марс (SBE-02i-00-FR-3)</t>
  </si>
  <si>
    <t>УТ000054145</t>
  </si>
  <si>
    <t>Рамка 4-местная горизонтальная  бежевая Марс (SBE-02i-00-FR-4)</t>
  </si>
  <si>
    <t>00410054103</t>
  </si>
  <si>
    <t>Рамка двухместная, вертикальная, белая, Makel, Mimoza 22032, Турция</t>
  </si>
  <si>
    <t>УТ000046359</t>
  </si>
  <si>
    <t>Рамка одноместная СУ, алюм, Schneider AtlasDesign ATN000301</t>
  </si>
  <si>
    <t>УТ000046360</t>
  </si>
  <si>
    <t>Рамка одноместная СУ, белый, Schneider AtlasDesign ATN000101</t>
  </si>
  <si>
    <t>УТ000046361</t>
  </si>
  <si>
    <t>Рамка одноместная СУ, грифель, Schneider AtlasDesign ATN000701</t>
  </si>
  <si>
    <t>УТ000046366</t>
  </si>
  <si>
    <t>Рамка трёхместная универсальная СУ, белый, Schneider AtlasDesign ATN000103</t>
  </si>
  <si>
    <t>УТ000018102</t>
  </si>
  <si>
    <t>Рамка трёхместная, вертикальная, белая, Makel, Mimoza 22033, Турция</t>
  </si>
  <si>
    <t>УТ000041363</t>
  </si>
  <si>
    <t>Розетка двуместная без заземления 10A белая, "Юпитер" керамика Smartbuy (SBE-03w-10-S2-N-c)</t>
  </si>
  <si>
    <t>УТ000039398</t>
  </si>
  <si>
    <t>Розетка двуместная без заземления 10A белая, керамика "Марс"  Smartbuy (SBE-02w-10-S2-N-c)</t>
  </si>
  <si>
    <t>УТ000043921</t>
  </si>
  <si>
    <t>Розетка двуместная с заземлением 16A белая, "Юпитер"  Smartbuy (SBE-03w-16-S2-Z)</t>
  </si>
  <si>
    <t>УТ000045863</t>
  </si>
  <si>
    <t>Розетка двуместная с заземлением 16A белая, "Юпитер" керамика Smartbuy (SBE-03w-16-S2-Z-c)</t>
  </si>
  <si>
    <t>УТ000048706</t>
  </si>
  <si>
    <t>Розетка двуместная с заземлением 16A белая, керамика "Марс"  Smartbuy (SBE-02w-16-S2-Z-c)</t>
  </si>
  <si>
    <t>00400051426</t>
  </si>
  <si>
    <t>Розетка двухместная О/У, Б/З, белая, 16A, Makel, Siva Ustu 45117, Турция</t>
  </si>
  <si>
    <t>УТ000019338</t>
  </si>
  <si>
    <t>Розетка двухместная О/У, Б/З, белый, 16А, Schneider BLANCA, Россия (000211)</t>
  </si>
  <si>
    <t>УТ000010037</t>
  </si>
  <si>
    <t>Розетка двухместная О/У, Б/З, белый, РА16-260, Bylectrica, Пралеска, Беларусь</t>
  </si>
  <si>
    <t>00400051427</t>
  </si>
  <si>
    <t>Розетка двухместная О/У, С/З, белая, 16A, Makel, Siva Ustu 45182, Турция</t>
  </si>
  <si>
    <t>УТ000032767</t>
  </si>
  <si>
    <t>Розетка двухместная О/У, С/З, белая, РА16-261, Bylectrica, Пралеска, Беларусь</t>
  </si>
  <si>
    <t>УТ000019339</t>
  </si>
  <si>
    <t>Розетка двухместная О/У, С/З, белый, 16А, Schneider BLANCA, Россия (010211)</t>
  </si>
  <si>
    <t>00410053596</t>
  </si>
  <si>
    <t>Розетка двухместная С/У, Б/З, белая, 16A, Makel, Mimoza 12017, Турция</t>
  </si>
  <si>
    <t>УТ000019340</t>
  </si>
  <si>
    <t>Розетка двухместная С/У, Б/З, белый, 16А, Schneider BLANCA, Россия (000021)</t>
  </si>
  <si>
    <t>00410056685</t>
  </si>
  <si>
    <t>Розетка двухместная С/У, С/З, белая/белая, 16A, Makel, Mimoza 12082, Турция</t>
  </si>
  <si>
    <t>УТ000019341</t>
  </si>
  <si>
    <t>Розетка двухместная С/У, С/З, белый, 16А, Schneider BLANCA, Россия (001021)</t>
  </si>
  <si>
    <t>УТ000051862</t>
  </si>
  <si>
    <t>Розетка компьютер + телефон RJ-45 одноместная 16A белая, Марс (SBE-02w-S1-RJPH)</t>
  </si>
  <si>
    <t>УТ000054141</t>
  </si>
  <si>
    <t>Розетка компьютерная RJ-45 одноместная бежевая, Марс (SBE-02i-S1-RJ)</t>
  </si>
  <si>
    <t>УТ000054132</t>
  </si>
  <si>
    <t>Розетка компьютерная RJ-45 одноместная белая, Марс (SBE-02w-S1-RJ)</t>
  </si>
  <si>
    <t>УТ000048041</t>
  </si>
  <si>
    <t>Розетка компьютерная С/У, RJ45, белый, кат 5е, Schneider BLANCA, Россия BLNIS045001</t>
  </si>
  <si>
    <t>УТ000054137</t>
  </si>
  <si>
    <t>Розетка одноместная без заземления 10A бежевая,"Марс" керамика  Smartbuy (SBE-02i-10-S1-N-c)</t>
  </si>
  <si>
    <t>УТ000047827</t>
  </si>
  <si>
    <t>Розетка одноместная без заземления 10A белая, "Марс" Smartbuy (SBE-02w-10-S1-N)</t>
  </si>
  <si>
    <t>УТ000048704</t>
  </si>
  <si>
    <t>Розетка одноместная без заземления 10A белая, "Марс" керамика Smartbuy (SBE-02w-10-S1-N-c)</t>
  </si>
  <si>
    <t>УТ000041362</t>
  </si>
  <si>
    <t>Розетка одноместная без заземления 10A белая, "Юпитер" керамика  Smartbuy (SBE-03w-10-S1-N-c)</t>
  </si>
  <si>
    <t>00400051424</t>
  </si>
  <si>
    <t>Розетка одноместная О/У, Б/З, белая, 16A, Makel, Siva Ustu 45102, Турция</t>
  </si>
  <si>
    <t>УТ000032769</t>
  </si>
  <si>
    <t>Розетка одноместная О/У, Б/З, белый, РА16-255, Bylectrica, Пралеска, Беларусь</t>
  </si>
  <si>
    <t>00400051429</t>
  </si>
  <si>
    <t>Розетка одноместная О/У, С/З, белая, 16A, Makel, Siva Ustu 45108, Турция</t>
  </si>
  <si>
    <t>УТ000019347</t>
  </si>
  <si>
    <t>Розетка одноместная О/У, С/З, белый, 16А, Schneider BLANCA, Россия (010111)</t>
  </si>
  <si>
    <t>УТ000053147</t>
  </si>
  <si>
    <t>Розетка одноместная О/У, С/З, белый, без шторки, 16А, Schneider BLANCA, Россия (010101)</t>
  </si>
  <si>
    <t>УТ000000062</t>
  </si>
  <si>
    <t>Розетка одноместная О/У, С/З, белый, РА16-254, Bylectrica, Пралеска, Беларусь</t>
  </si>
  <si>
    <t>УТ000032764</t>
  </si>
  <si>
    <t>Розетка одноместная О/У, С/З, белый, с крышкой, РА16-297, Bylectrica, Пралеска, Беларусь</t>
  </si>
  <si>
    <t>УТ000053110</t>
  </si>
  <si>
    <t>Розетка одноместная с заземлением 16A белая с защитными шторками "Юпитер" (SBE-03w-16-S1-1Z)</t>
  </si>
  <si>
    <t>УТ000051865</t>
  </si>
  <si>
    <t>Розетка одноместная с заземлением 16A белая, "Марс" Smartbuy (SBE-02w-16-S1-1Z)</t>
  </si>
  <si>
    <t>УТ000048705</t>
  </si>
  <si>
    <t>Розетка одноместная с заземлением 16A белая, "Марс" керамика Smartbuy (SBE-02w-16-S1-Z-c)</t>
  </si>
  <si>
    <t>УТ000039399</t>
  </si>
  <si>
    <t>Розетка одноместная с заземлением 16A белая, "Юпитер" керамика Smartbuy (SBE-03w-16-S1-Z-c)</t>
  </si>
  <si>
    <t>00410055516</t>
  </si>
  <si>
    <t>Розетка одноместная С/У, Б/З, белая, 16A, Makel, Mimoza 12002, Турция</t>
  </si>
  <si>
    <t>УТ000046354</t>
  </si>
  <si>
    <t>Розетка одноместная С/У, Б/З, белый, 16А, Schneider AtlasDesign ATN000141</t>
  </si>
  <si>
    <t>УТ000019348</t>
  </si>
  <si>
    <t>Розетка одноместная С/У, Б/З, белый, 16А, Schneider BLANCA, Россия (000011)</t>
  </si>
  <si>
    <t>00410055518</t>
  </si>
  <si>
    <t>Розетка одноместная С/У, С/З, белая/белая, 16A, Makel, Mimoza 12008,Турция</t>
  </si>
  <si>
    <t>УТ000019349</t>
  </si>
  <si>
    <t>Розетка одноместная С/У, С/З, белый, 16А, Schneider BLANCA, Россия (001011)</t>
  </si>
  <si>
    <t>УТ000054142</t>
  </si>
  <si>
    <t>Розетка одноместная телевизионная 75Ом 5-862МГц, бежевая, "Марс" Smartbuy (SBE-02i-S1-TV)</t>
  </si>
  <si>
    <t>УТ000048707</t>
  </si>
  <si>
    <t>Розетка одноместная телевизионная 75Ом 5-862МГц, белая, "Марс" Smartbuy (SBE-02w-S1-TV)</t>
  </si>
  <si>
    <t>00400051421</t>
  </si>
  <si>
    <t>Розетка С/У, TV, белая, Makel, Mimoza 12007, Турция</t>
  </si>
  <si>
    <t>УТ000043923</t>
  </si>
  <si>
    <t>Розетка телевизионная 75Ом 5-862МГц RJ-45 белая, Юпитер (SBE-03w-S1-TV)</t>
  </si>
  <si>
    <t>УТ000044358</t>
  </si>
  <si>
    <t>Розетка трехместная без заземлением 10A белая, "Юпитер"  Smartbuy (SBE-03w-10-S3-N)</t>
  </si>
  <si>
    <t>УТ000019343</t>
  </si>
  <si>
    <t>Розетка трёхместная О/У, С/З, белый, 16А, Schneider BLANCA, Россия (010311)</t>
  </si>
  <si>
    <t>УТ000022175</t>
  </si>
  <si>
    <t>Розетка трёхместная О/У, С/З, белый, РА16-265, Bylectrica, Пралеска, Беларусь</t>
  </si>
  <si>
    <t>УТ000044359</t>
  </si>
  <si>
    <t>Розетка трехместная с заземлением 16A белая, "Юпитер"  Smartbuy (SBE-03w-16-S3-Z)</t>
  </si>
  <si>
    <t>УТ000019344</t>
  </si>
  <si>
    <t>Розетка четырёхместная О/У, Б/З, белый, 16А, Schneider BLANCA, Россия (000411)</t>
  </si>
  <si>
    <t>УТ000012009</t>
  </si>
  <si>
    <t>Розетка четырёхместная О/У, Б/З, белый, РА16-246, Bylectrica, Пралеска, Беларусь</t>
  </si>
  <si>
    <t>УТ000006308</t>
  </si>
  <si>
    <t>Розетка четырёхместная О/У, С/З, белая, РА16-245, Bylectrica, Пралеска, Беларусь</t>
  </si>
  <si>
    <t xml:space="preserve"> Разьемы каучуковые</t>
  </si>
  <si>
    <t>УТ000058135</t>
  </si>
  <si>
    <t>Вилка прямая каучук 16А, 230В, 2P+PE IP44 UNIVersal</t>
  </si>
  <si>
    <t>УТ000058988</t>
  </si>
  <si>
    <t>Вилка прямая каучук 16А, 230В, 2P+PE P16-001 УХЛ3</t>
  </si>
  <si>
    <t>УТ000033044</t>
  </si>
  <si>
    <t>Вилка прямая каучук 16А, 230В, 2P+PE P16-003 з/к (ГОРС)</t>
  </si>
  <si>
    <t>УТ000058506</t>
  </si>
  <si>
    <t>Вилка прямая каучук 16А, B16-362, 230В,  з/к</t>
  </si>
  <si>
    <t>УТ000058990</t>
  </si>
  <si>
    <t>Вилка угловая каучук 16A, 230В, 2P+PE В16-002 УХЛ3</t>
  </si>
  <si>
    <t>УТ000058991</t>
  </si>
  <si>
    <t>Вилка угловая каучук 16A, 230В, 2P+PE с кольцом В16-003 УХЛ3</t>
  </si>
  <si>
    <t>УТ000056981</t>
  </si>
  <si>
    <t>Вилка угловая каучук 16А, 230В, 2P+PE IP44 UNIVersal</t>
  </si>
  <si>
    <t>УТ000053146</t>
  </si>
  <si>
    <t>Вилка уловая с ушком каучук 16А, 230В, 2P+PE IP44 UNIVersal 0003</t>
  </si>
  <si>
    <t>УТ000052450</t>
  </si>
  <si>
    <t>Вилка штепсельная каучук, 16А, IP44-28, FAR F48 (з)</t>
  </si>
  <si>
    <t>УТ000058995</t>
  </si>
  <si>
    <t>Розетка 1-местная, с/з, переносная, без крышки, каучук 16А IP20 РА16-005 УХЛ3</t>
  </si>
  <si>
    <t>УТ000058994</t>
  </si>
  <si>
    <t>Розетка 1-местная, с/з, переносная, с защитной крышкой, каучук 16А IP44 РА16-005 УХЛ3</t>
  </si>
  <si>
    <t>УТ000058984</t>
  </si>
  <si>
    <t>Розетка 1-местная, с/з, переносная, с защитной крышкой, каучук 16А IP44 РП16-131</t>
  </si>
  <si>
    <t>УТ000058986</t>
  </si>
  <si>
    <t>Розетка 1-местная, с/з, угловая, переносная, с защитной крышкой, каучук 16А IP44 РП16-132</t>
  </si>
  <si>
    <t>УТ000058985</t>
  </si>
  <si>
    <t>Розетка 2-местная, с/з, переносная, с защитными крышками, каучук 16А IP44 РП16-232</t>
  </si>
  <si>
    <t>УТ000048685</t>
  </si>
  <si>
    <t>Розетка переносная с кольцом и защитной крышкой каучуковая 230В, 2Р+РЕ, 16А, IP44 Smartbuy (SBE-16-S08-R)</t>
  </si>
  <si>
    <t>00410058059</t>
  </si>
  <si>
    <t>Розетка штепсельная каучук 16А IP44-28  (з)  Far F49</t>
  </si>
  <si>
    <t>УТ000032132</t>
  </si>
  <si>
    <t>Розетка штепсельная каучук P16-003 з/к переносная (ГОРС)</t>
  </si>
  <si>
    <t>УТ000033045</t>
  </si>
  <si>
    <t>Розетка штепсельная каучук P16-004 з/к переносная каучук с защитной крышкой (ГОРС)</t>
  </si>
  <si>
    <t>УТ000058507</t>
  </si>
  <si>
    <t>Розетка штепсельная каучук накладная 16А IP44  (з)  Far F106</t>
  </si>
  <si>
    <t>УТ000058893</t>
  </si>
  <si>
    <t>Розетка штепсельная с заземлением каучук 16А IP44 ALFA</t>
  </si>
  <si>
    <t xml:space="preserve"> Разьемы силовые стандарта CEE</t>
  </si>
  <si>
    <t>УТ000054157</t>
  </si>
  <si>
    <t>Вилка переносная Smartbuy 2P+PE 16A 220V IP44, (SBE-16-PP3-220)</t>
  </si>
  <si>
    <t>УТ000054160</t>
  </si>
  <si>
    <t>Вилка переносная Smartbuy 2P+PE 32A 220V IP44, (SBE-32-PP3-220)</t>
  </si>
  <si>
    <t>УТ000054158</t>
  </si>
  <si>
    <t>Вилка переносная Smartbuy 3P+PE 16A 380V IP44, (SBE-16-PP4-380)</t>
  </si>
  <si>
    <t>УТ000054161</t>
  </si>
  <si>
    <t>Вилка переносная Smartbuy 3P+PE 32A 380V IP44, (SBE-32-PP4-380)</t>
  </si>
  <si>
    <t>УТ000054159</t>
  </si>
  <si>
    <t>Вилка переносная Smartbuy 3P+PE+N 16A 380V IP44, (SBE-16-PP5-380)</t>
  </si>
  <si>
    <t>УТ000054162</t>
  </si>
  <si>
    <t>Вилка переносная Smartbuy 3P+PE+N 32A 380V IP44, (SBE-32-PP5-380)</t>
  </si>
  <si>
    <t>УТ000005022</t>
  </si>
  <si>
    <t>Комплект розетка+вилка РШ-ВШ 250В/32А белый</t>
  </si>
  <si>
    <t>УТ000008382</t>
  </si>
  <si>
    <t>Комплект розетка+вилка РШ-ВШ 250В/32А чёрный</t>
  </si>
  <si>
    <t>УТ000005023</t>
  </si>
  <si>
    <t>Комплект розетка+вилка РШ-ВШ 380В/32А белый</t>
  </si>
  <si>
    <t>УТ000008383</t>
  </si>
  <si>
    <t>Комплект розетка+вилка РШ-ВШ 380В/32А чёрный</t>
  </si>
  <si>
    <t>УТ000058177</t>
  </si>
  <si>
    <t>Комплект розетка+вилка СЭ РВШ 32-002 УХЛ4</t>
  </si>
  <si>
    <t>УТ000036023</t>
  </si>
  <si>
    <t>Разъем для плиты 250В 32A 2P+PE, (ОУ) карболитовый чёрный SmartBuy SBE-IS2-250-C</t>
  </si>
  <si>
    <t>УТ000036025</t>
  </si>
  <si>
    <t>Разъем для плиты 250В 32A 2P+PE, (СУ) пластиковый белый SmartBuy SBE-IS2-250-P</t>
  </si>
  <si>
    <t>УТ000036026</t>
  </si>
  <si>
    <t>Разъем для плиты 380В 32A 3P+PE, (ОУ) карболитовый чёрный SmartBuy SBE-IS1-380-C</t>
  </si>
  <si>
    <t>УТ000054165</t>
  </si>
  <si>
    <t>Розетка переносная Smartbuy 2P+PE 32A 220V IP44 (SBE-32-PS3-220)</t>
  </si>
  <si>
    <t>УТ000054163</t>
  </si>
  <si>
    <t>Розетка переносная Smartbuy 3P+PE 16A 380V IP44 (SBE-16-PS4-380)</t>
  </si>
  <si>
    <t>УТ000054166</t>
  </si>
  <si>
    <t>Розетка переносная Smartbuy 3P+PE 32A 380V IP44 (SBE-32-PS4-380)</t>
  </si>
  <si>
    <t>УТ000054164</t>
  </si>
  <si>
    <t>Розетка переносная Smartbuy 3P+PE+N 16A 380V IP44 (SBE-16-PS5-380)</t>
  </si>
  <si>
    <t>УТ000054167</t>
  </si>
  <si>
    <t>Розетка переносная Smartbuy 3P+PE+N 32A 380V IP44 (SBE-32-PS5-380)</t>
  </si>
  <si>
    <t>УТ000054168</t>
  </si>
  <si>
    <t>Розетка стационарная наружная Smartbuy 2P+PE 16A 220V IP44 (SBE-16-LS3-220)</t>
  </si>
  <si>
    <t>УТ000054171</t>
  </si>
  <si>
    <t>Розетка стационарная наружная Smartbuy 2P+PE 32A 220V IP44 (SBE-32-LS3-220)</t>
  </si>
  <si>
    <t>УТ000054169</t>
  </si>
  <si>
    <t>Розетка стационарная наружная Smartbuy 3P+PE 16A 380V IP44 (SBE-16-LS4-380)</t>
  </si>
  <si>
    <t>УТ000054172</t>
  </si>
  <si>
    <t>Розетка стационарная наружная Smartbuy 3P+PE 32A 380V IP44 (SBE-32-LS4-380)</t>
  </si>
  <si>
    <t xml:space="preserve"> Изоляционные материалы</t>
  </si>
  <si>
    <t xml:space="preserve"> Изолента</t>
  </si>
  <si>
    <t>УТ000057134</t>
  </si>
  <si>
    <t>Изолента автомобильная Terminator IZ 1510Blue ширина 15мм длина 10м синяя</t>
  </si>
  <si>
    <t>УТ000031809</t>
  </si>
  <si>
    <t>Изолента бесклеевая, холодостойкая, не поддерживает горение Terminator IZC 1510, ширина 15мм длина 10м черная</t>
  </si>
  <si>
    <t>УТ000046296</t>
  </si>
  <si>
    <t>Изолента бесклеевая, холодостойкая, не поддерживает горение Terminator IZC 1920, ширина 19мм длина 20м черная</t>
  </si>
  <si>
    <t>УТ000017836</t>
  </si>
  <si>
    <t>Изолента ПВХ 15мм 10м белая Smartbuy SBE-IT-15-10-w</t>
  </si>
  <si>
    <t>УТ000017837</t>
  </si>
  <si>
    <t>Изолента ПВХ 15мм 10м жёлтая Smartbuy SBE-IT-15-10-y</t>
  </si>
  <si>
    <t>УТ000017840</t>
  </si>
  <si>
    <t>Изолента ПВХ 15мм 10м желто-зеленая Smartbuy SBE-IT-15-10-yg</t>
  </si>
  <si>
    <t>УТ000017838</t>
  </si>
  <si>
    <t>Изолента ПВХ 15мм 10м зелёная Smartbuy SBE-IT-15-10-g</t>
  </si>
  <si>
    <t>УТ000017839</t>
  </si>
  <si>
    <t>Изолента ПВХ 15мм 10м красная Smartbuy SBE-IT-15-10-r</t>
  </si>
  <si>
    <t>УТ000033699</t>
  </si>
  <si>
    <t>Изолента ПВХ 15мм 10м набор из 5 цветов Smartbuy SBE-IT-15-10-mix (за упаковку)</t>
  </si>
  <si>
    <t>УТ000017841</t>
  </si>
  <si>
    <t>Изолента ПВХ 15мм 10м синяя Smartbuy SBE-IT-15-10-db</t>
  </si>
  <si>
    <t>УТ000017842</t>
  </si>
  <si>
    <t>Изолента ПВХ 15мм 10м чёрная Smartbuy SBE-IT-15-10-b</t>
  </si>
  <si>
    <t>УТ000033014</t>
  </si>
  <si>
    <t>Изолента ПВХ 15мм 20м белая Smartbuy SBE-IT-15-20-w</t>
  </si>
  <si>
    <t>УТ000033015</t>
  </si>
  <si>
    <t>Изолента ПВХ 15мм 20м желтая Smartbuy SBE-IT-15-20-y</t>
  </si>
  <si>
    <t>УТ000033016</t>
  </si>
  <si>
    <t>Изолента ПВХ 15мм 20м зелёная Smartbuy SBE-IT-15-20-g</t>
  </si>
  <si>
    <t>УТ000031949</t>
  </si>
  <si>
    <t>Изолента ПВХ 15мм 20м красная Smartbuy SBE-IT-15-20-r</t>
  </si>
  <si>
    <t>УТ000017843</t>
  </si>
  <si>
    <t>Изолента ПВХ 15мм 20м синяя Smartbuy SBE-IT-15-20-db</t>
  </si>
  <si>
    <t>УТ000017844</t>
  </si>
  <si>
    <t>Изолента ПВХ 15мм 20м чёрная Smartbuy SBE-IT-15-20-b</t>
  </si>
  <si>
    <t>УТ000036013</t>
  </si>
  <si>
    <t>Изолента ПВХ 19мм 20м белая Smartbuy SBE-IT-19-20-w</t>
  </si>
  <si>
    <t>УТ000031945</t>
  </si>
  <si>
    <t>Изолента ПВХ 19мм 20м жёлтая Smartbuy SBE-IT-19-20-y</t>
  </si>
  <si>
    <t>УТ000031946</t>
  </si>
  <si>
    <t>Изолента ПВХ 19мм 20м жёлто-зелёная Smartbuy SBE-IT-19-20-yg</t>
  </si>
  <si>
    <t>УТ000031947</t>
  </si>
  <si>
    <t>Изолента ПВХ 19мм 20м зелёная Smartbuy SBE-IT-19-20-g</t>
  </si>
  <si>
    <t>УТ000031948</t>
  </si>
  <si>
    <t>Изолента ПВХ 19мм 20м красная Smartbuy SBE-IT-19-20-r</t>
  </si>
  <si>
    <t>УТ000017845</t>
  </si>
  <si>
    <t>Изолента ПВХ 19мм 20м синяя Smartbuy SBE-IT-19-20-db</t>
  </si>
  <si>
    <t>УТ000017846</t>
  </si>
  <si>
    <t>Изолента ПВХ 19мм 20м чёрная Smartbuy SBE-IT-19-20-b</t>
  </si>
  <si>
    <t>УТ000039393</t>
  </si>
  <si>
    <t>Изолента самослипающаяся 15мм 5м черная Smartbuy SBE-RIT-15-05-b</t>
  </si>
  <si>
    <t>00410052002</t>
  </si>
  <si>
    <t>Изолента Х/Б 45г 15мм, 4 метра</t>
  </si>
  <si>
    <t>УТ000039390</t>
  </si>
  <si>
    <t>Клейкая лента двусторонняя акриловая 12мм 3м прозрачная Smartbuy SBE-DST-12-03-t</t>
  </si>
  <si>
    <t>УТ000053881</t>
  </si>
  <si>
    <t>Лента изоляционная асфальтированная 15мм малая</t>
  </si>
  <si>
    <t>УТ000053891</t>
  </si>
  <si>
    <t>Лента изоляционная асфальтированная 15мм средняя</t>
  </si>
  <si>
    <t>УТ000039392</t>
  </si>
  <si>
    <t>Лента самовулканизирующаяся силиконовая 25мм 3м черная Smartbuy SBE-SFT-25-03-b</t>
  </si>
  <si>
    <t xml:space="preserve"> Термоусадочная трубка</t>
  </si>
  <si>
    <t>УТ000035365</t>
  </si>
  <si>
    <t>ТЕРМО ТРУБКА  2,0/1,0мм 1м прозрачная</t>
  </si>
  <si>
    <t>УТ000005092</t>
  </si>
  <si>
    <t>ТЕРМО ТРУБКА  4,0/2,0мм 1м желтая</t>
  </si>
  <si>
    <t>УТ000005094</t>
  </si>
  <si>
    <t>ТЕРМО ТРУБКА  6,0/3,0мм 1м желтая (25)</t>
  </si>
  <si>
    <t>00410053079</t>
  </si>
  <si>
    <t>ТЕРМО ТРУБКА 10,0/5,0мм 1м белая</t>
  </si>
  <si>
    <t>УТ000052936</t>
  </si>
  <si>
    <t>ТЕРМО ТРУБКА 10,0/5,0мм 1м желтая</t>
  </si>
  <si>
    <t>УТ000033885</t>
  </si>
  <si>
    <t>ТЕРМО ТРУБКА 10,0/5,0мм 1м красная</t>
  </si>
  <si>
    <t>УТ000033886</t>
  </si>
  <si>
    <t>ТЕРМО ТРУБКА 10,0/5,0мм 1м синяя</t>
  </si>
  <si>
    <t xml:space="preserve"> Термоусадочная трубка  с клеем</t>
  </si>
  <si>
    <t>УТ000058545</t>
  </si>
  <si>
    <t>Трубка термоусадочная с клеем 3/1мм 1м зелёная</t>
  </si>
  <si>
    <t>УТ000053376</t>
  </si>
  <si>
    <t>Трубка термоусадочная с клеем 3/1мм 1м синяя</t>
  </si>
  <si>
    <t xml:space="preserve"> Термоусадочная трубка, наборы</t>
  </si>
  <si>
    <t>00410058328</t>
  </si>
  <si>
    <t>Набор термо трубок №1 (АВТО) Rexant 29-0101</t>
  </si>
  <si>
    <t>УТ000010182</t>
  </si>
  <si>
    <t>Набор термо трубок №2 (Авто импорт) REXANT 29-0102</t>
  </si>
  <si>
    <t>УТ000002924</t>
  </si>
  <si>
    <t>Набор термо трубок №3 (Ассорти) REXANT 29-0103</t>
  </si>
  <si>
    <t>УТ000002925</t>
  </si>
  <si>
    <t>Набор термо трубок №4 (Рыболов) Rexant 29-0104</t>
  </si>
  <si>
    <t>УТ000010179</t>
  </si>
  <si>
    <t>Набор термо трубок №5 (Стандарт) REXANT 29-0105</t>
  </si>
  <si>
    <t>УТ000010181</t>
  </si>
  <si>
    <t>Набор термо трубок №6 (Максимум) REXANT 29-0106</t>
  </si>
  <si>
    <t xml:space="preserve"> Кабеленесущие системы</t>
  </si>
  <si>
    <t xml:space="preserve"> Кабель-каналы</t>
  </si>
  <si>
    <t>00401051963</t>
  </si>
  <si>
    <t>Кабель-канал 12*12 белый, 2м</t>
  </si>
  <si>
    <t>УТ000041749</t>
  </si>
  <si>
    <t>Кабель-канал 12*12 Венге, 2м УралПак</t>
  </si>
  <si>
    <t>УТ000041750</t>
  </si>
  <si>
    <t>Кабель-канал 12*12 Сосна, 2м УралПак</t>
  </si>
  <si>
    <t>00410057116</t>
  </si>
  <si>
    <t>Кабель-канал 15*10 белый, 2м</t>
  </si>
  <si>
    <t>УТ000041751</t>
  </si>
  <si>
    <t>Кабель-канал 15*10 Венге, 2м УралПак</t>
  </si>
  <si>
    <t>УТ000041752</t>
  </si>
  <si>
    <t>Кабель-канал 15*10 Сосна, 2м УралПак</t>
  </si>
  <si>
    <t>00410057117</t>
  </si>
  <si>
    <t>Кабель-канал 16*16 белый, 2м</t>
  </si>
  <si>
    <t>00410057118</t>
  </si>
  <si>
    <t>Кабель-канал 20*10 белый, 2м</t>
  </si>
  <si>
    <t>00410057119</t>
  </si>
  <si>
    <t>Кабель-канал 25*16 белый, 2м</t>
  </si>
  <si>
    <t>00401051964</t>
  </si>
  <si>
    <t>Кабель-канал 40*16 белый, 2м</t>
  </si>
  <si>
    <t>УТ000010357</t>
  </si>
  <si>
    <t>Кабель-канал 40*40 белый, 2м</t>
  </si>
  <si>
    <t>УТ000055948</t>
  </si>
  <si>
    <t>Кабель-канал 80*60 белый, 2м</t>
  </si>
  <si>
    <t xml:space="preserve"> Кабельный крепеж</t>
  </si>
  <si>
    <t xml:space="preserve"> Дюбель-хомуты нейлоновые</t>
  </si>
  <si>
    <t>УТ000015963</t>
  </si>
  <si>
    <t>Дюбель-хомут 5-10 мм ДХ для круглого кабеля (100шт) 9829 Партнер</t>
  </si>
  <si>
    <t>УТ000015962</t>
  </si>
  <si>
    <t>Дюбель-хомут 5-10мм нейлон чёрный (100шт) UHH36-5-10-100 IEK</t>
  </si>
  <si>
    <t>УТ000051866</t>
  </si>
  <si>
    <t>Дюбель-хомут d=11x18 мм (для круглого кабеля, длинна 54мм) нейлон черный, 100шт/уп. (SBE-CJ-18-B)</t>
  </si>
  <si>
    <t>УТ000025397</t>
  </si>
  <si>
    <t>Дюбель-хомут d=11х18 мм (для круглого кабеля, длинна 54мм)нейлон ,белый, 50шт/уп. EKF 639146</t>
  </si>
  <si>
    <t>УТ000048686</t>
  </si>
  <si>
    <t>Дюбель-хомут d=5х10 мм (для круглого кабеля, длинна 45мм) нейлон белый, 100шт/уп. (SBE-CJ-10-W)</t>
  </si>
  <si>
    <t>УТ000051823</t>
  </si>
  <si>
    <t>Дюбель-хомут d=5х8 мм (для круглого кабеля, длинна 45мм) нейлон белый, 100шт/уп. (SBE-CJ-08-W)</t>
  </si>
  <si>
    <t>УТ000025403</t>
  </si>
  <si>
    <t>Дюбель-хомут d=6х12 мм (для плоского кабеля, длинна 45мм)нейлон чёрный, 50шт/уп. EKF 458475</t>
  </si>
  <si>
    <t>УТ000025404</t>
  </si>
  <si>
    <t>Дюбель-хомут d=6х14 мм (для плоского кабеля, длинна 45мм)нейлон белый, 50шт/уп. EKF</t>
  </si>
  <si>
    <t xml:space="preserve"> Скобы для гофры</t>
  </si>
  <si>
    <t>00410059358</t>
  </si>
  <si>
    <t>Крепёж-клипса для гофры Ø16 серая (100)</t>
  </si>
  <si>
    <t>00401051984</t>
  </si>
  <si>
    <t>Крепёж-клипса для гофры Ø20 серая (100)</t>
  </si>
  <si>
    <t>00401051985</t>
  </si>
  <si>
    <t>Крепёж-клипса для гофры Ø25 серая</t>
  </si>
  <si>
    <t>00401051986</t>
  </si>
  <si>
    <t>Крепёж-клипса для гофры Ø32 серая (50)</t>
  </si>
  <si>
    <t xml:space="preserve"> Скобы для кабеля</t>
  </si>
  <si>
    <t>УТ000054813</t>
  </si>
  <si>
    <t>Крепеж кабеля круглый 10мм (упак.50 шт.) Rexant</t>
  </si>
  <si>
    <t>УТ000054815</t>
  </si>
  <si>
    <t>Крепеж кабеля круглый 14мм (упак.50 шт.) Rexant</t>
  </si>
  <si>
    <t>УТ000017200</t>
  </si>
  <si>
    <t>Крепеж кабеля круглый 5мм (упак.50 шт.) Rexant 07-4005</t>
  </si>
  <si>
    <t>УТ000017207</t>
  </si>
  <si>
    <t>Крепеж кабеля плоский 6мм х 4мм (упак.50 шт.) Rexant 07-4206</t>
  </si>
  <si>
    <t>УТ000017208</t>
  </si>
  <si>
    <t>Крепеж кабеля плоский 8мм х 3мм (упак.50 шт.) Rexant 07-4207</t>
  </si>
  <si>
    <t>УТ000041451</t>
  </si>
  <si>
    <t>Крепеж кабеля плоский 9мм, белый, 50шт TDM SQ0513-0013</t>
  </si>
  <si>
    <t xml:space="preserve"> Хомуты нейлоновые, стяжки</t>
  </si>
  <si>
    <t>УТ000025927</t>
  </si>
  <si>
    <t>Хомуты нейлоновый SmartBuy 2,5x100, белый (SBE-CT-25-100-w)</t>
  </si>
  <si>
    <t>УТ000025928</t>
  </si>
  <si>
    <t>Хомуты нейлоновый SmartBuy 2,5x100, чёрный (SBE-CT-25-100-b)</t>
  </si>
  <si>
    <t>УТ000025929</t>
  </si>
  <si>
    <t>Хомуты нейлоновый SmartBuy 2.5x120, белый (SBE-CT-25-120-w)</t>
  </si>
  <si>
    <t>УТ000025930</t>
  </si>
  <si>
    <t>Хомуты нейлоновый SmartBuy 2.5x120, чёрный (SBE-CT-25-120-b)</t>
  </si>
  <si>
    <t>УТ000025931</t>
  </si>
  <si>
    <t>Хомуты нейлоновый SmartBuy 2.5x150, белый (SBE-CT-25-150-w)</t>
  </si>
  <si>
    <t>УТ000025933</t>
  </si>
  <si>
    <t>Хомуты нейлоновый SmartBuy 2.5x200, белый (SBE-CT-25-200-w)</t>
  </si>
  <si>
    <t>УТ000025934</t>
  </si>
  <si>
    <t>Хомуты нейлоновый SmartBuy 2.5x200, чёрный (SBE-CT-25-200-b)</t>
  </si>
  <si>
    <t>УТ000025935</t>
  </si>
  <si>
    <t>Хомуты нейлоновый SmartBuy 3.6x150, белый (SBE-CT-36-150-w)</t>
  </si>
  <si>
    <t>УТ000025936</t>
  </si>
  <si>
    <t>Хомуты нейлоновый SmartBuy 3.6x150, черный (SBE-CT-36-150-b)</t>
  </si>
  <si>
    <t>УТ000025937</t>
  </si>
  <si>
    <t>Хомуты нейлоновый SmartBuy 3.6x200, белый (SBE-CT-36-200-w)</t>
  </si>
  <si>
    <t>УТ000025938</t>
  </si>
  <si>
    <t>Хомуты нейлоновый SmartBuy 3.6x200, черный (SBE-CT-36-200-b)</t>
  </si>
  <si>
    <t>УТ000025939</t>
  </si>
  <si>
    <t>Хомуты нейлоновый SmartBuy 3.6x250, белый (SBE-CT-36-250-w)</t>
  </si>
  <si>
    <t>УТ000025940</t>
  </si>
  <si>
    <t>Хомуты нейлоновый SmartBuy 3.6x250, чёрный (SBE-CT-36-250-b)</t>
  </si>
  <si>
    <t>УТ000025941</t>
  </si>
  <si>
    <t>Хомуты нейлоновый SmartBuy 3.6x300, белый (SBE-CT-36-300-w)</t>
  </si>
  <si>
    <t>УТ000025942</t>
  </si>
  <si>
    <t>Хомуты нейлоновый SmartBuy 3.6x300, чёрный (SBE-CT-36-300-b)</t>
  </si>
  <si>
    <t>УТ000025943</t>
  </si>
  <si>
    <t>Хомуты нейлоновый SmartBuy 4.8x200, белый (SBE-CT-48-200-w)</t>
  </si>
  <si>
    <t>УТ000025944</t>
  </si>
  <si>
    <t>Хомуты нейлоновый SmartBuy 4.8x200, чёрный (SBE-CT-48-200-b)</t>
  </si>
  <si>
    <t>УТ000025945</t>
  </si>
  <si>
    <t>Хомуты нейлоновый SmartBuy 4.8x250, белый (SBE-CT-48-250-w)</t>
  </si>
  <si>
    <t>УТ000025946</t>
  </si>
  <si>
    <t>Хомуты нейлоновый SmartBuy 4.8x250, чёрный (SBE-CT-48-250-b)</t>
  </si>
  <si>
    <t>УТ000025947</t>
  </si>
  <si>
    <t>Хомуты нейлоновый SmartBuy 4.8x300, белый (SBE-CT-48-300-w)</t>
  </si>
  <si>
    <t>УТ000025948</t>
  </si>
  <si>
    <t>Хомуты нейлоновый SmartBuy 4.8x300, черный (SBE-CT-48-300-b)</t>
  </si>
  <si>
    <t>УТ000025949</t>
  </si>
  <si>
    <t>Хомуты нейлоновый SmartBuy 4.8x350, белый (SBE-CT-48-350-w)</t>
  </si>
  <si>
    <t>УТ000025950</t>
  </si>
  <si>
    <t>Хомуты нейлоновый SmartBuy 4.8x350, черный (SBE-CT-48-350-b)</t>
  </si>
  <si>
    <t>УТ000025951</t>
  </si>
  <si>
    <t>Хомуты нейлоновый SmartBuy 4.8x400, белый (SBE-CT-48-400-w)</t>
  </si>
  <si>
    <t>УТ000025952</t>
  </si>
  <si>
    <t>Хомуты нейлоновый SmartBuy 4.8x400, черный (SBE-CT-48-400-b)</t>
  </si>
  <si>
    <t>УТ000049736</t>
  </si>
  <si>
    <t>Хомуты нейлоновый SmartBuy 4.8x450, белый (SBE-CT-48-450-w)</t>
  </si>
  <si>
    <t>УТ000049738</t>
  </si>
  <si>
    <t>Хомуты нейлоновый SmartBuy 4.8x500, белый (SBE-CT-48-500-w)</t>
  </si>
  <si>
    <t>УТ000049739</t>
  </si>
  <si>
    <t>Хомуты нейлоновый SmartBuy 4.8x500, черный (SBE-CT-48-500-b)</t>
  </si>
  <si>
    <t>УТ000051850</t>
  </si>
  <si>
    <t>Хомуты нейлоновый SmartBuy 7.6x300, белый (SBE-CT-76-300-w)</t>
  </si>
  <si>
    <t>УТ000049740</t>
  </si>
  <si>
    <t>Хомуты нейлоновый SmartBuy 7.6x350, белый (SBE-CT-76-350-w)</t>
  </si>
  <si>
    <t>УТ000051851</t>
  </si>
  <si>
    <t>Хомуты нейлоновый SmartBuy 7.6x350, черный (SBE-CT-76-350-b)</t>
  </si>
  <si>
    <t>УТ000049741</t>
  </si>
  <si>
    <t>Хомуты нейлоновый SmartBuy 7.6x400, белый (SBE-CT-76-400-w) (100шт)</t>
  </si>
  <si>
    <t>УТ000049742</t>
  </si>
  <si>
    <t>Хомуты нейлоновый SmartBuy 7.6x400, черный (SBE-CT-76-400-b)</t>
  </si>
  <si>
    <t>УТ000051853</t>
  </si>
  <si>
    <t>Хомуты нейлоновый SmartBuy 7.6x450, белый (SBE-CT-76-450-w)</t>
  </si>
  <si>
    <t>УТ000051852</t>
  </si>
  <si>
    <t>Хомуты нейлоновый SmartBuy 7.6x450, черный (SBE-CT-76-450-b)</t>
  </si>
  <si>
    <t>УТ000051854</t>
  </si>
  <si>
    <t>Хомуты нейлоновый SmartBuy 7.6x500, белый (SBE-CT-76-500-w)</t>
  </si>
  <si>
    <t>УТ000051855</t>
  </si>
  <si>
    <t>Хомуты нейлоновый SmartBuy 7.6x500, черный (SBE-CT-76-500-b)</t>
  </si>
  <si>
    <t xml:space="preserve"> Сальники</t>
  </si>
  <si>
    <t>УТ000053055</t>
  </si>
  <si>
    <t>Сальник PG13, диаметр проводника 6-12мм, IP54, Smartbuy (SBE-cg-pg-13.5) (уп. 5 штук)</t>
  </si>
  <si>
    <t>УТ000053056</t>
  </si>
  <si>
    <t>Сальник PG16, диаметр проводника 10-14мм, IP54, Smartbuy (SBE-cg-pg-16) (уп. 5 штук)</t>
  </si>
  <si>
    <t>УТ000053057</t>
  </si>
  <si>
    <t>Сальник PG19, диаметр проводника 12-15мм, IP54, Smartbuy (SBE-cg-pg-19) (уп. 5 штук)</t>
  </si>
  <si>
    <t>УТ000053058</t>
  </si>
  <si>
    <t>Сальник PG21, диаметр проводника 13-18мм, IP54, Smartbuy (SBE-cg-pg-21) (уп. 5 штук)</t>
  </si>
  <si>
    <t>УТ000053059</t>
  </si>
  <si>
    <t>Сальник PG25, диаметр проводника 16-21мм, IP54, Smartbuy (SBE-cg-pg-25) (уп. 5 штук)</t>
  </si>
  <si>
    <t>УТ000053060</t>
  </si>
  <si>
    <t>Сальник PG29, диаметр проводника 18-25мм, IP54, Smartbuy (SBE-cg-pg-29) (уп. 5 штук)</t>
  </si>
  <si>
    <t>УТ000049721</t>
  </si>
  <si>
    <t>Сальник PG7, 3-6.5мм, SmartBuy (SBE-cg-pg7) (уп. 5 штук)</t>
  </si>
  <si>
    <t>УТ000053067</t>
  </si>
  <si>
    <t>Сальник PG9, диаметр проводника 4-8мм, IP54, Smartbuy (SBE-cg-pg-9) (уп. 5 штук)</t>
  </si>
  <si>
    <t xml:space="preserve"> Трубы гофрированные</t>
  </si>
  <si>
    <t>00401051980</t>
  </si>
  <si>
    <t>Труба ПВХ гофро с зонд. № 16</t>
  </si>
  <si>
    <t>00401051981</t>
  </si>
  <si>
    <t>Труба ПВХ гофро с зонд. № 20</t>
  </si>
  <si>
    <t>00401051982</t>
  </si>
  <si>
    <t>Труба ПВХ гофро с зонд. № 25</t>
  </si>
  <si>
    <t>00401051983</t>
  </si>
  <si>
    <t>Труба ПВХ гофро с зонд. № 32</t>
  </si>
  <si>
    <t>УТ000028324</t>
  </si>
  <si>
    <t>Труба ПНД гофро с зонд. № 16 оранжевая TDM SQ0413-0011</t>
  </si>
  <si>
    <t xml:space="preserve"> Кабель, провода, шнуры</t>
  </si>
  <si>
    <t xml:space="preserve"> Кабель АВВГ</t>
  </si>
  <si>
    <t>00410053109</t>
  </si>
  <si>
    <t>Кабель АВВГ-П 2*4,0 Черный (м)</t>
  </si>
  <si>
    <t xml:space="preserve"> Кабель акустический</t>
  </si>
  <si>
    <t xml:space="preserve"> Акустический кабель медный, CU</t>
  </si>
  <si>
    <t>УТ000058112</t>
  </si>
  <si>
    <t>Кабель акустический прозрачный 2*2,5мм² бескислородная медь OFC 99,9% ULTRA FLAT( плоский )  (100)</t>
  </si>
  <si>
    <t xml:space="preserve"> Акустический кабель омеднённый, CCA</t>
  </si>
  <si>
    <t>00410054116</t>
  </si>
  <si>
    <t>Кабель акустический кр./черн. 2*0,35мм² (100)</t>
  </si>
  <si>
    <t xml:space="preserve"> Кабель ВВГ</t>
  </si>
  <si>
    <t>00410058649</t>
  </si>
  <si>
    <t>Кабель ВВГ-Пнг 2*1,5 Черный ГОСТ</t>
  </si>
  <si>
    <t>00410058650</t>
  </si>
  <si>
    <t>Кабель ВВГ-Пнг 2*2,5 Черный ГОСТ</t>
  </si>
  <si>
    <t>00410058651</t>
  </si>
  <si>
    <t>Кабель ВВГ-Пнг 3*1,5 Черный ГОСТ</t>
  </si>
  <si>
    <t>00410058652</t>
  </si>
  <si>
    <t>Кабель ВВГ-Пнг 3*2,5 Черный ГОСТ</t>
  </si>
  <si>
    <t>УТ000022151</t>
  </si>
  <si>
    <t>Кабель ВВГ-Пнг 4*1,5 Чёрный ГОСТ</t>
  </si>
  <si>
    <t>УТ000022463</t>
  </si>
  <si>
    <t>Кабель ВВГ-Пнг 4*2,5 Чёрный ГОСТ</t>
  </si>
  <si>
    <t xml:space="preserve"> Кабель КГ</t>
  </si>
  <si>
    <t>00410051212</t>
  </si>
  <si>
    <t>Кабель КГ 2*0,75 (м) ГОСТ</t>
  </si>
  <si>
    <t>00410055105</t>
  </si>
  <si>
    <t>Кабель КГ 2*2,5  (м) ГОСТ</t>
  </si>
  <si>
    <t xml:space="preserve"> Кабель ПВ-1, ПВ-3</t>
  </si>
  <si>
    <t>00410056684</t>
  </si>
  <si>
    <t>Провод ПВ-3/ПуГВ 2,5 Белый (м)</t>
  </si>
  <si>
    <t>00410055556</t>
  </si>
  <si>
    <t>Провод ПВ-3/ПуГВ 6,0 Белый (м)</t>
  </si>
  <si>
    <t xml:space="preserve"> Кабель телевизионный, телефонный, витая пара</t>
  </si>
  <si>
    <t>УТ000051774</t>
  </si>
  <si>
    <t>Кабель Витая пара UTP 4*2*24АWG  5-е категория Net.on 01-1001</t>
  </si>
  <si>
    <t>УТ000021032</t>
  </si>
  <si>
    <t>Кабель коаксиальный, антенный РК75-4,3-31 для помещений (Mastersat RG-6/U, Чуваш) Белый</t>
  </si>
  <si>
    <t>УТ000031736</t>
  </si>
  <si>
    <t>Кабель коаксиальный, антенный РК75-4,3-31 уличный (Mastersat RG-6/U, Чуваш) Черный</t>
  </si>
  <si>
    <t xml:space="preserve"> Провод ПВС</t>
  </si>
  <si>
    <t>00410052431</t>
  </si>
  <si>
    <t>Провод ПВС 2*1.0 Белый (м) ГОСТ</t>
  </si>
  <si>
    <t>00410049937</t>
  </si>
  <si>
    <t>Провод ПВС 3*1.5 Белый (м) ГОСТ</t>
  </si>
  <si>
    <t xml:space="preserve"> Провод ШВВП,  ПуГВВ-П</t>
  </si>
  <si>
    <t>УТ000024179</t>
  </si>
  <si>
    <t>Провод ПуГВВ-П 2*1,5 (м) (напряжение 450/750В АС) Белый ГОСТ</t>
  </si>
  <si>
    <t>УТ000031729</t>
  </si>
  <si>
    <t>Провод ПуГВВ-П 2*2,5 (м) (напряжение 450/750В АС или 1000 DC) Белый ГОСТ</t>
  </si>
  <si>
    <t>00410049946</t>
  </si>
  <si>
    <t>Провод ШВВП 2*0,75 Белый Гост</t>
  </si>
  <si>
    <t>00410049947</t>
  </si>
  <si>
    <t>Провод ШВВП 3*0,5 Белый (м)</t>
  </si>
  <si>
    <t xml:space="preserve"> Клеммы, наконечники, ответвители, гильзы соединительные</t>
  </si>
  <si>
    <t xml:space="preserve"> Гильзы соединительные</t>
  </si>
  <si>
    <t>УТ000053348</t>
  </si>
  <si>
    <t>Гильза соединительная изолированная термоусаживаемая с припоем 0,5-1.5мм² красная (100)</t>
  </si>
  <si>
    <t>УТ000053349</t>
  </si>
  <si>
    <t>Гильза соединительная изолированная термоусаживаемая с припоем 1,5-2,5мм² синяя</t>
  </si>
  <si>
    <t xml:space="preserve"> Клеммные колодки</t>
  </si>
  <si>
    <t>УТ000048678</t>
  </si>
  <si>
    <t>Колодка клеммная  3А 4мм Smartbuy (SBE-td-03-04)</t>
  </si>
  <si>
    <t>УТ000048679</t>
  </si>
  <si>
    <t>Колодка клеммная  6А 6мм Smartbuy (SBE-td-06-06)</t>
  </si>
  <si>
    <t>УТ000048675</t>
  </si>
  <si>
    <t>Колодка клеммная 10А 10мм Smartbuy (SBE-td-10-10)</t>
  </si>
  <si>
    <t>УТ000048676</t>
  </si>
  <si>
    <t>Колодка клеммная 15А 12мм Smartbuy (SBE-td-15-12) (10)</t>
  </si>
  <si>
    <t>УТ000052230</t>
  </si>
  <si>
    <t>Колодка клеммная с крышкой, 12 контакта, 600В 25А TB-2512</t>
  </si>
  <si>
    <t>УТ000057645</t>
  </si>
  <si>
    <t>Колодка клеммная с крышкой, 12 контактов, 600В 35А TB-3512</t>
  </si>
  <si>
    <t>УТ000057646</t>
  </si>
  <si>
    <t>Колодка клеммная с крышкой, 12 контактов, 600В 45А TB-4512</t>
  </si>
  <si>
    <t>УТ000054501</t>
  </si>
  <si>
    <t>Колодка клеммная с крышкой, 3 контакта, 600В 100А TB-10003</t>
  </si>
  <si>
    <t>УТ000052223</t>
  </si>
  <si>
    <t>Колодка клеммная с крышкой, 3 контакта, 600В 15А TB-1503</t>
  </si>
  <si>
    <t>УТ000054503</t>
  </si>
  <si>
    <t>Колодка клеммная с крышкой, 3 контакта, 600В 45А TB-4503</t>
  </si>
  <si>
    <t>УТ000054504</t>
  </si>
  <si>
    <t>Колодка клеммная с крышкой, 3 контакта, 600В 60А TBC-6003</t>
  </si>
  <si>
    <t>УТ000053936</t>
  </si>
  <si>
    <t>Колодка клеммная с крышкой, 4 контакта, 600В 45А TB-4504</t>
  </si>
  <si>
    <t>УТ000053937</t>
  </si>
  <si>
    <t>Колодка клеммная с крышкой, 4 контакта, 600В 60А TBC-6004</t>
  </si>
  <si>
    <t>УТ000052229</t>
  </si>
  <si>
    <t>Колодка клеммная с крышкой, 6 контактов, 600В 25А TB-2506</t>
  </si>
  <si>
    <t xml:space="preserve"> Клеммы кольцевые</t>
  </si>
  <si>
    <t>УТ000059317</t>
  </si>
  <si>
    <t>Наконечник кольцевой неизолированный 10мм DJ431-10A-D</t>
  </si>
  <si>
    <t>УТ000059318</t>
  </si>
  <si>
    <t>Наконечник кольцевой неизолированный 12,1мм DJ431-12B-C</t>
  </si>
  <si>
    <t>УТ000027340</t>
  </si>
  <si>
    <t>Наконечник кольцевой неизолированный 4,0мм под провод 0.5-0.75мм  DJ431-4A</t>
  </si>
  <si>
    <t>УТ000059319</t>
  </si>
  <si>
    <t>Наконечник кольцевой неизолированный 4,0мм под провод 0.75-1.5мм  DJ431-4B</t>
  </si>
  <si>
    <t>УТ000027344</t>
  </si>
  <si>
    <t>Наконечник кольцевой неизолированный 5,1мм  DJ431-5A.B.C.D</t>
  </si>
  <si>
    <t>УТ000027350</t>
  </si>
  <si>
    <t>Наконечник кольцевой неизолированный 6,1мм DJ431-6A.B.C.D</t>
  </si>
  <si>
    <t>УТ000059320</t>
  </si>
  <si>
    <t>Наконечник кольцевой неизолированный 8мм DJ431-8A-D</t>
  </si>
  <si>
    <t xml:space="preserve"> Клеммы плоские</t>
  </si>
  <si>
    <t>00410050356</t>
  </si>
  <si>
    <t>Гнездо плоское 2,8х0.5 изоляция на хвосте, красное</t>
  </si>
  <si>
    <t>00410050357</t>
  </si>
  <si>
    <t>Гнездо плоское 2,8х0.5 изоляция на хвосте, синее</t>
  </si>
  <si>
    <t xml:space="preserve"> Клеммы силовые ТМ, ТМЛ</t>
  </si>
  <si>
    <t>УТ000032175</t>
  </si>
  <si>
    <t>Наконечник луженый ТМЛ 10-8-5</t>
  </si>
  <si>
    <t xml:space="preserve"> Клеммы соединителыная, тип WAGO</t>
  </si>
  <si>
    <t xml:space="preserve"> Клеммы соединительные многоразовые</t>
  </si>
  <si>
    <t>УТ000010214</t>
  </si>
  <si>
    <t>Клемма универсальная многоразовая 2-проводная, до 2,5мм²  General GTER1-02</t>
  </si>
  <si>
    <t>УТ000011957</t>
  </si>
  <si>
    <t>Клемма универсальная многоразовая 2-проводная, до 2,5мм²  PCT-212, CMK-412 (WAGO 222-412) (100)</t>
  </si>
  <si>
    <t>УТ000056460</t>
  </si>
  <si>
    <t>Клемма универсальная многоразовая 2-проводная, до 2,5мм²  PCT-212, CMK-412 (WAGO 222-412) (комплект 10шт)</t>
  </si>
  <si>
    <t>УТ000056461</t>
  </si>
  <si>
    <t>Клемма универсальная многоразовая 2-проводная, до 2,5мм²  PCT-212, CMK-412 (WAGO 222-412) (комплект 5шт)</t>
  </si>
  <si>
    <t>УТ000056275</t>
  </si>
  <si>
    <t>Клемма универсальная многоразовая 2-проводная, до 2,5мм²  PCT-312</t>
  </si>
  <si>
    <t>УТ000056458</t>
  </si>
  <si>
    <t>Клемма универсальная многоразовая 3-проводная, до 2,5мм²  PCT-213, CMK-413 (WAGO 222-413) (комплект 5шт)</t>
  </si>
  <si>
    <t>УТ000053463</t>
  </si>
  <si>
    <t>Клемма универсальная многоразовая 3-проводная, до 2,5мм²  PCT-213, CMK-413 (WAGO 222-413) упак 50шт.</t>
  </si>
  <si>
    <t>УТ000056276</t>
  </si>
  <si>
    <t>Клемма универсальная многоразовая 3-проводная, до 2,5мм²  PCT-313</t>
  </si>
  <si>
    <t xml:space="preserve"> Клеммы соединительные многоразовые проходные</t>
  </si>
  <si>
    <t>УТ000052147</t>
  </si>
  <si>
    <t>Клемма универсальная многоразовая, проходная 1-проводная, 0,08-4мм2 (SBE-ptcwсс-1) (50)</t>
  </si>
  <si>
    <t>УТ000047871</t>
  </si>
  <si>
    <t>Клемма универсальная многоразовая, проходная 3-проводная, до 2,5мм² PCT-223</t>
  </si>
  <si>
    <t>УТ000053104</t>
  </si>
  <si>
    <t>Клемма универсальная многоразовая, проходная 3-проводная, до 4мм² STEKKER LD 222-430 (5)</t>
  </si>
  <si>
    <t>УТ000051825</t>
  </si>
  <si>
    <t>Строительно-монтажная клемма с рычажками 1-2 полюсов 0,08-4мм2 проходная (SBE-cwcc-1-2) (5)</t>
  </si>
  <si>
    <t>УТ000048701</t>
  </si>
  <si>
    <t>Строительно-монтажная клемма с рычажками 3-6 полюсов 0,08-4мм2 проходная (SBE-cwcc-3-6) (5)</t>
  </si>
  <si>
    <t xml:space="preserve"> Клеммы соединительные одноразовые, компактные</t>
  </si>
  <si>
    <t>УТ000031289</t>
  </si>
  <si>
    <t>Клемма универсальная одноразовая 2-проводная SBE-pwco-2 (50)</t>
  </si>
  <si>
    <t xml:space="preserve"> Клеммы соединительные, тип Скотч-лок</t>
  </si>
  <si>
    <t>УТ000054446</t>
  </si>
  <si>
    <t>Скотч-Лок CW-2, соединяет  два провода с сечением жилы 1.5-2.0мм² упак. 5ш</t>
  </si>
  <si>
    <t xml:space="preserve"> Клеммы цилиндрические</t>
  </si>
  <si>
    <t>УТ000025484</t>
  </si>
  <si>
    <t>Штекер цилиндрический изолированный РШИ-П 1.5-4 сечение 0,5-1,5 мм² красный</t>
  </si>
  <si>
    <t xml:space="preserve"> Наконечник втулочный</t>
  </si>
  <si>
    <t>УТ000032196</t>
  </si>
  <si>
    <t>Наконечник втулочный НШВи 4,0мм² F=9мм</t>
  </si>
  <si>
    <t>УТ000032190</t>
  </si>
  <si>
    <t>Наконечник втулочный НШВи 6,0мм² F=12мм</t>
  </si>
  <si>
    <t>УТ000041432</t>
  </si>
  <si>
    <t>Наконечник втулочный НШВи двойной 2х1,0мм²  2,8*8мм</t>
  </si>
  <si>
    <t xml:space="preserve"> Коробки распределительные, установочные</t>
  </si>
  <si>
    <t xml:space="preserve"> Коробки распределительные для открытой установки IP40, IP42, IP44</t>
  </si>
  <si>
    <t>УТ000033747</t>
  </si>
  <si>
    <t>Коробка распределительная ОП  75*75*30 мм, IP42, белая Schnaider BLNRK000011</t>
  </si>
  <si>
    <t>УТ000004691</t>
  </si>
  <si>
    <t>Коробка распределительная ОП  80*80*25 мм, IP 40, для кабель-канала Рувинил 65005</t>
  </si>
  <si>
    <t>УТ000004696</t>
  </si>
  <si>
    <t>Коробка распределительная ОП  80*80*25 мм, IP 40, для кабель-канала Рувинил 65005K</t>
  </si>
  <si>
    <t xml:space="preserve"> Коробки распределительные для открытой установки IP55, IP54</t>
  </si>
  <si>
    <t>00410052004</t>
  </si>
  <si>
    <t>Коробка распределительная ОП  43*80*35 мм, IP54, 10 вводов Рувинил 67091</t>
  </si>
  <si>
    <t>УТ000042357</t>
  </si>
  <si>
    <t>Коробка распределительная ОП  70*70*40 мм, IP55, 6 вводов, с крышкой,  HEGEL КР2605</t>
  </si>
  <si>
    <t>УТ000044091</t>
  </si>
  <si>
    <t>Коробка распределительная ОП  85*85*40 мм, IP55, 6 вводов, с крышкой,  HEGEL КР2603</t>
  </si>
  <si>
    <t>УТ000042356</t>
  </si>
  <si>
    <t>Коробка распределительная ОП 100*100*50 мм, IP55, 7 вводов, с крышкой,  HEGEL КР2604</t>
  </si>
  <si>
    <t>УТ000004689</t>
  </si>
  <si>
    <t>Коробка распределительная ОП 120*80*50 мм, IP54, 6 вводов, Рувинил 67051</t>
  </si>
  <si>
    <t>УТ000044086</t>
  </si>
  <si>
    <t>Коробка распределительная ОП ø65*40 мм, IP55, 4 ввода, HEGEL КР2601</t>
  </si>
  <si>
    <t xml:space="preserve"> Коробки распределительные для открытой установки с клеммником IP20</t>
  </si>
  <si>
    <t>УТ000025114</t>
  </si>
  <si>
    <t>Коробка распределительная ОП  75*75*30 мм, с клемн. белая HEGEL КРК2702</t>
  </si>
  <si>
    <t xml:space="preserve"> Коробки распределительные скрытой проводки для сплошных стен, кирпич, бетон</t>
  </si>
  <si>
    <t>УТ000043189</t>
  </si>
  <si>
    <t>Коробка распределительная 102*102*50 мм, 10 вводов, HEGEL КР1101</t>
  </si>
  <si>
    <t>УТ000043192</t>
  </si>
  <si>
    <t>Коробка распределительная СП   ø70*14 мм, 9 вводов, HEGEL У194</t>
  </si>
  <si>
    <t>00410053812</t>
  </si>
  <si>
    <t>Коробка распределительная СП   ø70*30 мм, 5 вводов,  HEGEL У195</t>
  </si>
  <si>
    <t>00410053771</t>
  </si>
  <si>
    <t>Коробка распределительная СП   ø96*14 мм, с крышкой HEGEL У191</t>
  </si>
  <si>
    <t>00410053772</t>
  </si>
  <si>
    <t>Коробка распределительная СП   ø96*30 мм, 7 вводов, HEGEL У-192</t>
  </si>
  <si>
    <t>00410052008</t>
  </si>
  <si>
    <t>Коробка распределительная СП  ø100*40 мм, HEGEL У-198  KP1105</t>
  </si>
  <si>
    <t xml:space="preserve"> Коробки распределительные скрытой проводки, для полых стен и перегородок</t>
  </si>
  <si>
    <t>00410052009</t>
  </si>
  <si>
    <t>Коробка распределительная СП  113*113*45 мм, для г/к HEGEL KP1201</t>
  </si>
  <si>
    <t>УТ000044092</t>
  </si>
  <si>
    <t>Коробка распределительная СП  120*100*50 мм, для г/к HEGEL KP1203</t>
  </si>
  <si>
    <t>00410053770</t>
  </si>
  <si>
    <t>Коробка распределительная СП  ø86х45 мм, 6 вводов, пластиковые лапки HEGEL КР1202</t>
  </si>
  <si>
    <t xml:space="preserve"> Коробки установочные, подрозетники для полых стен и перегородок</t>
  </si>
  <si>
    <t>00410051221</t>
  </si>
  <si>
    <t>Коробка установочная ø68*40 мм, 6 вводов, пластиковые лапки, HEGEL КУ1203</t>
  </si>
  <si>
    <t>00410053777</t>
  </si>
  <si>
    <t>Коробка установочная ø68*45 мм, 6 вводов, металлические лапки, HEGEL КУ1202</t>
  </si>
  <si>
    <t>00410051222</t>
  </si>
  <si>
    <t>Коробка установочная ø68*45 мм, 6 вводов, пластиковые лапки, HEGEL КУ1201-м/КУ1201</t>
  </si>
  <si>
    <t xml:space="preserve"> Коробки установочные, подрозетники для сплошных стен, кирпич, бетон</t>
  </si>
  <si>
    <t>00410051220</t>
  </si>
  <si>
    <t>Коробка установочная ø68*40 мм, 5 вводов, HEGEL КУ1106</t>
  </si>
  <si>
    <t>УТ000001897</t>
  </si>
  <si>
    <t>Коробка установочная, блочная, ø68*42 мм, 7 вводов, HEGEL КУ1101</t>
  </si>
  <si>
    <t>00410053779</t>
  </si>
  <si>
    <t>Коробка установочная, блочная, ø68*62 мм, 11 вводов, HEGEL КУ1102</t>
  </si>
  <si>
    <t xml:space="preserve"> Модульное оборудование</t>
  </si>
  <si>
    <t xml:space="preserve"> Автоматические выключатели</t>
  </si>
  <si>
    <t>УТ000057250</t>
  </si>
  <si>
    <t>Автоматический выключатель модель 1п 10А 4,5 кА RX3 Legrand 419662</t>
  </si>
  <si>
    <t>УТ000054462</t>
  </si>
  <si>
    <t>Автоматический выключатель модель 1п 10А 4,5 кА х-ка C 230В Systeme Electric City-9 C9F34110</t>
  </si>
  <si>
    <t>УТ000057251</t>
  </si>
  <si>
    <t>Автоматический выключатель модель 1п 16А 4,5 кА RX3 Legrand 419664</t>
  </si>
  <si>
    <t>УТ000054463</t>
  </si>
  <si>
    <t>Автоматический выключатель модель 1п 16А 4,5 кА х-ка C 230В Systeme Electric City-9 C9F34116</t>
  </si>
  <si>
    <t>УТ000057252</t>
  </si>
  <si>
    <t>Автоматический выключатель модель 1п 20А 4,5 кА RX3 Legrand 419665</t>
  </si>
  <si>
    <t>УТ000057253</t>
  </si>
  <si>
    <t>Автоматический выключатель модель 1п 25А 4,5 кА RX3 Legrand 419666</t>
  </si>
  <si>
    <t>УТ000054464</t>
  </si>
  <si>
    <t>Автоматический выключатель модель 1п 25А 4,5 кА х-ка C 230В Systeme Electric City-9 C9F34125</t>
  </si>
  <si>
    <t>УТ000057254</t>
  </si>
  <si>
    <t>Автоматический выключатель модель 1п 32А 4,5 кА RX3 Legrand 419667</t>
  </si>
  <si>
    <t>УТ000004698</t>
  </si>
  <si>
    <t>Автоматический выключатель модель 1п С  6А ВА 47-63 4,5 кА ЭКФ PROxima mcd4763-1-6C-pro (Россия)</t>
  </si>
  <si>
    <t>УТ000004701</t>
  </si>
  <si>
    <t>Автоматический выключатель модель 1п С 10А ВА 47-63 4,5 кА ЭКФ PROxima mcd4763-1-10C-pro (Россия)</t>
  </si>
  <si>
    <t>УТ000004699</t>
  </si>
  <si>
    <t>Автоматический выключатель модель 1п С 16А ВА 47-63 4,5 кА ЭКФ PROxima mcd4763-1-16C-pro (Россия)</t>
  </si>
  <si>
    <t>УТ000004700</t>
  </si>
  <si>
    <t>Автоматический выключатель модель 1п С 20А ВА 47-63 4,5 кА ЭКФ PROxima mcd4763-1-20C-pro (Россия)</t>
  </si>
  <si>
    <t>УТ000004702</t>
  </si>
  <si>
    <t>Автоматический выключатель модель 1п С 25А ВА 47-63 4,5 кА ЭКФ PROxima mcd4763-1-25C-pro (Россия)</t>
  </si>
  <si>
    <t>УТ000004697</t>
  </si>
  <si>
    <t>Автоматический выключатель модель 1п С 32А ВА 47-63 4,5 кА ЭКФ PROxima mcd4763-1-32C-pro (Россия)</t>
  </si>
  <si>
    <t>00410055568</t>
  </si>
  <si>
    <t>Автоматический выключатель модель 1п С 40А ВА 47-63 4,5 кА ЭКФ PROxima mcd4763-1-40C-pro (Россия)</t>
  </si>
  <si>
    <t>00410055569</t>
  </si>
  <si>
    <t>Автоматический выключатель модель 1п С 63А ВА 47-63 4,5 кА ЭКФ PROxima mcd4763-1-63C-pro (Россия)</t>
  </si>
  <si>
    <t>УТ000054465</t>
  </si>
  <si>
    <t>Автоматический выключатель модель 2п 16А 4,5 кА х-ка C 230В Systeme Electric City-9 C9F34216</t>
  </si>
  <si>
    <t>УТ000054466</t>
  </si>
  <si>
    <t>Автоматический выключатель модель 2п 25А 4,5 кА х-ка C 230В Systeme Electric City-9 C9F34225</t>
  </si>
  <si>
    <t>УТ000054467</t>
  </si>
  <si>
    <t>Автоматический выключатель модель 2п 32А 4,5 кА х-ка C 230В Systeme Electric City-9 C9F34232</t>
  </si>
  <si>
    <t>УТ000004706</t>
  </si>
  <si>
    <t>Автоматический выключатель модель 2п С 10А ВА 47-63 4,5 кА ЭКФ PROxima mcd4763-2-10C-pro (Россия)</t>
  </si>
  <si>
    <t>УТ000004703</t>
  </si>
  <si>
    <t>Автоматический выключатель модель 2п С 16А ВА 47-63 4,5 кА ЭКФ PROxima mcd4763-2-16C-pro (Россия)</t>
  </si>
  <si>
    <t>УТ000004705</t>
  </si>
  <si>
    <t>Автоматический выключатель модель 2п С 20А ВА 47-63 4,5 кА ЭКФ PROxima mcd4763-2-20C-pro (Россия)</t>
  </si>
  <si>
    <t>УТ000004704</t>
  </si>
  <si>
    <t>Автоматический выключатель модель 2п С 25А ВА 47-63 4,5 кА ЭКФ PROxima mcd4763-2-25C-pro (Россия)</t>
  </si>
  <si>
    <t>УТ000026959</t>
  </si>
  <si>
    <t>Автоматический выключатель модель 2п С 32А ВА 47-63 4,5 кА ЭКФ PROxima mcd4763-2-32C-pro (Россия)</t>
  </si>
  <si>
    <t>УТ000057937</t>
  </si>
  <si>
    <t>Автоматический выключатель модель 2п С 40А ВА 47-63 4,5 кА ЭКФ PROxima mcd4763-2-40C-pro (Россия)</t>
  </si>
  <si>
    <t>УТ000056940</t>
  </si>
  <si>
    <t>Автоматический выключатель модель 2п С 63А ВА 47-63 4,5 кА ЭКФ PROxima mcd4763-2-63C-pro (Россия)</t>
  </si>
  <si>
    <t>УТ000004708</t>
  </si>
  <si>
    <t>Автоматический выключатель модель 3п С 16А ВА 47-63 4,5 кА ЭКФ PROxima mcd4763-3-16C-pro (Россия)</t>
  </si>
  <si>
    <t>УТ000004707</t>
  </si>
  <si>
    <t>Автоматический выключатель модель 3п С 20А ВА 47-63 4,5 кА ЭКФ PROxima mcd4763-3-20C-pro (Россия)</t>
  </si>
  <si>
    <t>УТ000004709</t>
  </si>
  <si>
    <t>Автоматический выключатель модель 3п С 25А ВА 47-63 4,5 кА ЭКФ PROxima mcd4763-3-25C-pro (Россия)</t>
  </si>
  <si>
    <t>УТ000004710</t>
  </si>
  <si>
    <t>Автоматический выключатель модель 3п С 32А ВА 47-63 4,5 кА ЭКФ PROxima mcd4763-3-32C-pro (Россия)</t>
  </si>
  <si>
    <t>УТ000057938</t>
  </si>
  <si>
    <t>Автоматический выключатель модель 3п С 40А ВА 47-63 4,5 кА ЭКФ PROxima mcd4763-3-40C-pro (Россия)</t>
  </si>
  <si>
    <t>УТ000056941</t>
  </si>
  <si>
    <t>Автоматический выключатель модель 3п С 63А ВА 47-63 4,5 кА ЭКФ PROxima mcd4763-3-63C-pro (Россия)</t>
  </si>
  <si>
    <t xml:space="preserve"> Блоки зажимов на DIN рейку, зажимы наборные</t>
  </si>
  <si>
    <t>УТ000053120</t>
  </si>
  <si>
    <t>Заглушка для ЗНБ 16мм JXB (уп. 5 штук)</t>
  </si>
  <si>
    <t>УТ000053119</t>
  </si>
  <si>
    <t>Заглушка для ЗНБ 2.5мм JXB (уп. 5 штук)</t>
  </si>
  <si>
    <t>УТ000053117</t>
  </si>
  <si>
    <t>Заглушка для ЗНБ 35мм JXB (уп. 5 штук)</t>
  </si>
  <si>
    <t>УТ000053118</t>
  </si>
  <si>
    <t>Заглушка для ЗНБ 4-6-10мм JXB (уп. 5 штук)</t>
  </si>
  <si>
    <t>УТ000044822</t>
  </si>
  <si>
    <t>Зажим наборный  35А, 4 мм² JXB серый Smartbuy</t>
  </si>
  <si>
    <t>УТ000044823</t>
  </si>
  <si>
    <t>Зажим наборный  35А, 4 мм² JXB синий Smartbuy</t>
  </si>
  <si>
    <t>УТ000044825</t>
  </si>
  <si>
    <t>Зажим наборный  50А, 6 мм² JXB серый Smartbuy</t>
  </si>
  <si>
    <t>УТ000044826</t>
  </si>
  <si>
    <t>Зажим наборный  50А, 6 мм² JXB синий Smartbuy</t>
  </si>
  <si>
    <t>УТ000044813</t>
  </si>
  <si>
    <t>Зажим наборный  70А, 10 мм² JXB серый Smartbuy</t>
  </si>
  <si>
    <t>УТ000044814</t>
  </si>
  <si>
    <t>Зажим наборный  70А, 10 мм² JXB синий Smartbuy</t>
  </si>
  <si>
    <t>УТ000044815</t>
  </si>
  <si>
    <t>Зажим наборный  90А, 16 мм² JXB серый Smartbuy</t>
  </si>
  <si>
    <t>УТ000044816</t>
  </si>
  <si>
    <t>Зажим наборный  90А, 16 мм² JXB синий Smartbuy</t>
  </si>
  <si>
    <t>УТ000044821</t>
  </si>
  <si>
    <t>Зажим наборный земля 35А, 4 мм² JXB Smartbuy</t>
  </si>
  <si>
    <t>УТ000044824</t>
  </si>
  <si>
    <t>Зажим наборный земля 50А, 6 мм² JXB Smartbuy</t>
  </si>
  <si>
    <t>УТ000044812</t>
  </si>
  <si>
    <t>Зажим наборный земля 70А, 10 мм² JXB Smartbuy</t>
  </si>
  <si>
    <t xml:space="preserve"> Диф автоматы, УЗО</t>
  </si>
  <si>
    <t>УТ000007923</t>
  </si>
  <si>
    <t>Выключатель авт. диф. тока 1п+N 2мод. С 16А 30mA тип АС 4.5kA АД-32 PROxima ЭКФ DA32-16-30-pro</t>
  </si>
  <si>
    <t>УТ000057249</t>
  </si>
  <si>
    <t>Выключатель авт. диф. тока 2п (1P+N) C 25А 30mA тип АС 6kA  RX3 Legrand 419401</t>
  </si>
  <si>
    <t xml:space="preserve"> Дополнительное оборудование</t>
  </si>
  <si>
    <t>УТ000053726</t>
  </si>
  <si>
    <t>Розетка модульная РМ-105 16А 220V 2P-PEN на DIN-рейку DEKraft 18012DEK</t>
  </si>
  <si>
    <t xml:space="preserve"> Контакторы, пускатели, выключатели нагрузки</t>
  </si>
  <si>
    <t>УТ000043560</t>
  </si>
  <si>
    <t>Пускатель электромагнитный ПМЛ-2160ДМ 25А 230В EKF Basic pml-s-25-230-basic</t>
  </si>
  <si>
    <t xml:space="preserve"> Лампы сигнальные</t>
  </si>
  <si>
    <t>УТ000059202</t>
  </si>
  <si>
    <t>Индикатор фаз световой ИЭК MIF10-400</t>
  </si>
  <si>
    <t xml:space="preserve"> Реле промежуточное</t>
  </si>
  <si>
    <t>УТ000036813</t>
  </si>
  <si>
    <t>Реле промежуточное РП 22/3 5А 24В AC EKF rp-22-3-24</t>
  </si>
  <si>
    <t xml:space="preserve"> Переключатели силовые , кнопочные посты</t>
  </si>
  <si>
    <t xml:space="preserve"> Кнопочные посты</t>
  </si>
  <si>
    <t>УТ000030658</t>
  </si>
  <si>
    <t>Выключатель кнопочный с блокировкой TDM ВКН-316, 3P 16A 230/400В IP40 SQ0716-0002</t>
  </si>
  <si>
    <t>УТ000030659</t>
  </si>
  <si>
    <t>Выключатель кнопочный с блокировкой TDM ВКН-325, 3P 25A 230/400В IP40 SQ0716-0003</t>
  </si>
  <si>
    <t xml:space="preserve"> Переключатели кнопочные силовые</t>
  </si>
  <si>
    <t>УТ000037990</t>
  </si>
  <si>
    <t>Переключатель кнопочный 3SA12-22E-11BSWD "Пуск-Стоп" 10А, 600Вmax, с неоновой подсветкой 220В, овальный</t>
  </si>
  <si>
    <t>УТ000055783</t>
  </si>
  <si>
    <t>Переключатель кнопочный LA42-11H</t>
  </si>
  <si>
    <t xml:space="preserve"> Умный дом, Wi-Fi устройства</t>
  </si>
  <si>
    <t>УТ000050212</t>
  </si>
  <si>
    <t>Датчик газа Wi-Fi Navigator Smart NSH-SNR-02</t>
  </si>
  <si>
    <t>УТ000025822</t>
  </si>
  <si>
    <t>Датчик дыма Wi-Fi Navigator NSH-SNR-S001-WiFi</t>
  </si>
  <si>
    <t>УТ000053941</t>
  </si>
  <si>
    <t>Датчик открытия дверей W-iFi Navigator NSH-SNR-D01-WiFi</t>
  </si>
  <si>
    <t>УТ000053942</t>
  </si>
  <si>
    <t>Датчик протечки воды W-iFi Navigator NSH-SNR-W01-WiFi</t>
  </si>
  <si>
    <t>УТ000052572</t>
  </si>
  <si>
    <t>Умная розетка, беспроводная связь Wi-Fi,  1 гнездо 220В, 16А, 2USB</t>
  </si>
  <si>
    <t>УТ000052571</t>
  </si>
  <si>
    <t>Умный выключатель, беспроводная связь Wi-Fi, 1 кн, сенсор, 240В, 10А, до 1,3кВт</t>
  </si>
  <si>
    <t>УТ000055054</t>
  </si>
  <si>
    <t>Электромагнитный замок 12В 350мА, 27,5*27*16,9мм</t>
  </si>
  <si>
    <t>УТ000055055</t>
  </si>
  <si>
    <t>Электромагнитный замок 12В 600мА, 54,1*41,3*27,8мм</t>
  </si>
  <si>
    <t xml:space="preserve"> Управление теплый пол</t>
  </si>
  <si>
    <t>УТ000057233</t>
  </si>
  <si>
    <t>Термостат NC (обогрев) на DIN-рейку 10А 230В IP20 TNC10M EKF PROxima</t>
  </si>
  <si>
    <t>УТ000057194</t>
  </si>
  <si>
    <t>Термостат для тёплого пола механический 16А 250В, Basic</t>
  </si>
  <si>
    <t>УТ000057195</t>
  </si>
  <si>
    <t>Термостат электронный 16A 230В программируемый ETT-1 EKF Proxima</t>
  </si>
  <si>
    <t xml:space="preserve"> Управляемые розетки</t>
  </si>
  <si>
    <t xml:space="preserve"> Розетки с реле напряжения, с узо</t>
  </si>
  <si>
    <t>УТ000037078</t>
  </si>
  <si>
    <t>Реле контроля напряжения Robiton PH-1 BL-1</t>
  </si>
  <si>
    <t>УТ000046705</t>
  </si>
  <si>
    <t>Реле контроля напряжения Robiton PH-3 BL-1</t>
  </si>
  <si>
    <t>УТ000055420</t>
  </si>
  <si>
    <t>Реле контроля напряжения Robiton PH-4 BL-1</t>
  </si>
  <si>
    <t>УТ000055421</t>
  </si>
  <si>
    <t>Реле контроля напряжения Robiton PH-5 BL-1</t>
  </si>
  <si>
    <t>УТ000037080</t>
  </si>
  <si>
    <t>Устройство защитного отключения Robiton УЗО-1 в розетку</t>
  </si>
  <si>
    <t xml:space="preserve"> Управление розеткой по таймеру</t>
  </si>
  <si>
    <t>УТ000000705</t>
  </si>
  <si>
    <t>Таймер механический ROBITON ME-01, время настройки 15 мин - 24 ч, 16А, 3600Вт</t>
  </si>
  <si>
    <t>УТ000000707</t>
  </si>
  <si>
    <t>Таймер механический ROBITON ME-03 влагозащищенный, подходит для наружного использования, программирование на 24 часа, позволяет настроить включение и выключение приборов с точностью до 15 мин</t>
  </si>
  <si>
    <t>УТ000034944</t>
  </si>
  <si>
    <t>Таймер механический ROBITON ME-04</t>
  </si>
  <si>
    <t>УТ000038272</t>
  </si>
  <si>
    <t>Таймер электронный, время настройки 24ч / неделя, 16А, 3600Вт, 20 программ, Robiton EL-03</t>
  </si>
  <si>
    <t>00410059413</t>
  </si>
  <si>
    <t>Таймер электронный, время настройки 24ч / неделя, 16А, 3600Вт, Robiton EL-02</t>
  </si>
  <si>
    <t>УТ000000704</t>
  </si>
  <si>
    <t>Таймер электронный, время настройки 24ч / неделя, 16А, 3600Вт, компактный, Robiton EL-01</t>
  </si>
  <si>
    <t>УТ000043480</t>
  </si>
  <si>
    <t>Таймер электронный, время настройки 24ч / неделя, 16А, 3600Вт, подсветка, Robiton EL-04</t>
  </si>
  <si>
    <t xml:space="preserve"> Шиты, корпуса, боксы</t>
  </si>
  <si>
    <t xml:space="preserve"> Бокс для автоматов врезной С/У</t>
  </si>
  <si>
    <t>УТ000054194</t>
  </si>
  <si>
    <t>Бокс ЩРВ-П-12 модулей встраиваемый, пластик IP41 Generial</t>
  </si>
  <si>
    <t>УТ000019324</t>
  </si>
  <si>
    <t>Щит распределительный ЩРВ-П-10 IP40 EKF pb40-v-10</t>
  </si>
  <si>
    <t xml:space="preserve"> Бокс для автоматов накладной О/У</t>
  </si>
  <si>
    <t>УТ000054191</t>
  </si>
  <si>
    <t>Бокс ЩРН-П-6 модулей навесной, пластик IP41 Generica</t>
  </si>
  <si>
    <t>УТ000054192</t>
  </si>
  <si>
    <t>Бокс ЩРН-П-8 модулей навесной, пластик IP41 Generial</t>
  </si>
  <si>
    <t>УТ000056393</t>
  </si>
  <si>
    <t>Щит на 12 модулей накладной пластик ЩРН-П-12 Generica МКР12-N-12-41-G</t>
  </si>
  <si>
    <t>УТ000051624</t>
  </si>
  <si>
    <t>Щит на 18 модулей накладной пластик ЩРН-П-18 ИЭК MKP12-N-18-41-G</t>
  </si>
  <si>
    <t>УТ000000307</t>
  </si>
  <si>
    <t>Щит на 2 модуля  накладной пластик КМПн 1/2 IP30 ИЭК МКР31-N-02-30-252</t>
  </si>
  <si>
    <t>00410057818</t>
  </si>
  <si>
    <t>Щит на 2 модуля  накладной пластик КМПн 2/2 IP30 ИЭК МКР42-N-02-30-20</t>
  </si>
  <si>
    <t>УТ000000303</t>
  </si>
  <si>
    <t>Щит на 4 модуля  накладной пластик КМПн 2/4 IP30 ИЭК МКР42-N-04-30-12</t>
  </si>
  <si>
    <t>УТ000019322</t>
  </si>
  <si>
    <t>Щит на 9 модулей накладной пластик КМПн 2/9-1 IP31 ИЭК МКР42-N-09-31-01</t>
  </si>
  <si>
    <t>УТ000031109</t>
  </si>
  <si>
    <t>Щит на 9 модулей накладной пластик КМПн 2/9-2 IP31 ИЭК МКР42-N-09-31-02</t>
  </si>
  <si>
    <t xml:space="preserve"> Комплектующие для электрощитов и боксов</t>
  </si>
  <si>
    <t xml:space="preserve"> DIN-рейки</t>
  </si>
  <si>
    <t>00410057113</t>
  </si>
  <si>
    <t>DIN-рейка 10 см</t>
  </si>
  <si>
    <t>00410055574</t>
  </si>
  <si>
    <t>DIN-рейка 20 см</t>
  </si>
  <si>
    <t xml:space="preserve"> Нулевые шины</t>
  </si>
  <si>
    <t>УТ000053093</t>
  </si>
  <si>
    <t>Шина "N" нулевая (латунь) 6х9мм, 12 групп, крепеж по центру, Smartbuy (SBE-bc-12)</t>
  </si>
  <si>
    <t>УТ000053094</t>
  </si>
  <si>
    <t>Шина "N" нулевая (латунь) 6х9мм, 14 групп, крепеж по центру, Smartbuy (SBE-bc-14)</t>
  </si>
  <si>
    <t>УТ000044828</t>
  </si>
  <si>
    <t>Шина "N" нулевая (латунь) 6х9мм, 8 групп, крепеж по центру, Smartbuy</t>
  </si>
  <si>
    <t>УТ000053098</t>
  </si>
  <si>
    <t>Шина "N" нулевая (латунь) в изоляторе на DIN-рейку 6x9мм, 10 групп, Smartbuy (SBE-bc-10-dri)</t>
  </si>
  <si>
    <t>УТ000044833</t>
  </si>
  <si>
    <t>Шина "N" нулевая (латунь) в изоляторе на DIN-рейку 6x9мм, 8 групп, Smartbuy (SBE-bc-8-dri)</t>
  </si>
  <si>
    <t>УТ000053089</t>
  </si>
  <si>
    <t>Шина "N" нулевая (латунь) на двух угл. изоляторах 6x9мм 10 групп, Smartbuy (SBE-bc-10-2i)</t>
  </si>
  <si>
    <t>УТ000053090</t>
  </si>
  <si>
    <t>Шина "N" нулевая (латунь) на двух угл. изоляторах 6x9мм 12 групп, Smartbuy (SBE-bc-12-2i)</t>
  </si>
  <si>
    <t>УТ000053091</t>
  </si>
  <si>
    <t>Шина "N" нулевая (латунь) на двух угл. изоляторах 6x9мм 14 групп, Smartbuy (SBE-bc-14-2i)</t>
  </si>
  <si>
    <t>УТ000053092</t>
  </si>
  <si>
    <t>Шина "N" нулевая (латунь) на двух угл. изоляторах 6x9мм 8 групп, Smartbuy (SBE-bc-8-2i)</t>
  </si>
  <si>
    <t>УТ000044830</t>
  </si>
  <si>
    <t>Шина "N" нулевая (латунь) с изолятором на DIN-рейку 6x9мм, 12 групп, Smartbuy (SBE-bc-12-dr)</t>
  </si>
  <si>
    <t>УТ000044831</t>
  </si>
  <si>
    <t>Шина "N" нулевая (латунь) с изолятором на DIN-рейку 6x9мм, 14 групп, Smartbuy</t>
  </si>
  <si>
    <t>УТ000044832</t>
  </si>
  <si>
    <t>Шина "N" нулевая (латунь) с изолятором на DIN-рейку 6x9мм, 6 групп, Smartbuy SBE-bc-6-dr</t>
  </si>
  <si>
    <t>УТ000044827</t>
  </si>
  <si>
    <t>Шина "N" нулевая (латунь) с изолятором на DIN-рейку 6x9мм, 8 групп, Smartbuy SBE-bc-8-dr</t>
  </si>
  <si>
    <t>УТ000015968</t>
  </si>
  <si>
    <t>Шина N нулевая 6*9мм 12 групп на изоляторе 63А  EKF sn0-63-12-d</t>
  </si>
  <si>
    <t>УТ000015970</t>
  </si>
  <si>
    <t>Шина N нулевая 6*9мм 8 групп на изоляторе 63А  EKF sn0-63-08-d</t>
  </si>
  <si>
    <t xml:space="preserve"> Шина соединительная</t>
  </si>
  <si>
    <t>УТ000040456</t>
  </si>
  <si>
    <t>Шина соединительная типа PIN Smartbuy (штырь, 1П, 63А, 1м)</t>
  </si>
  <si>
    <t>УТ000040457</t>
  </si>
  <si>
    <t>Шина соединительная типа PIN Smartbuy (штырь, 2П, 63А, 1м)</t>
  </si>
  <si>
    <t>УТ000058128</t>
  </si>
  <si>
    <t>Шина соединительная типа PIN для трехфазной нагрузки 63А 12 модулей EKF PROxima</t>
  </si>
</sst>
</file>

<file path=xl/styles.xml><?xml version="1.0" encoding="utf-8"?>
<styleSheet xmlns="http://schemas.openxmlformats.org/spreadsheetml/2006/main" xml:space="preserve">
  <numFmts count="1">
    <numFmt numFmtId="164" formatCode="mm-dd-yy"/>
  </numFmts>
  <fonts count="8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3"/>
      <color rgb="FF000000"/>
      <name val="Arial"/>
    </font>
    <font>
      <b val="1"/>
      <i val="0"/>
      <strike val="0"/>
      <u val="none"/>
      <sz val="22"/>
      <color rgb="FF558ed5"/>
      <name val="Arial"/>
    </font>
    <font>
      <b val="1"/>
      <i val="0"/>
      <strike val="0"/>
      <u val="none"/>
      <sz val="14"/>
      <color rgb="FFc00000"/>
      <name val="Arial"/>
    </font>
    <font>
      <b val="1"/>
      <i val="1"/>
      <strike val="0"/>
      <u val="none"/>
      <sz val="14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7c98d9"/>
        <bgColor rgb="FF000000"/>
      </patternFill>
    </fill>
    <fill>
      <patternFill patternType="solid">
        <fgColor rgb="FF6784ca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2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1" applyFont="1" applyNumberFormat="0" applyFill="0" applyBorder="1" applyAlignment="1">
      <alignment horizontal="left" vertical="center" textRotation="0" wrapText="true" shrinkToFit="false"/>
    </xf>
    <xf xfId="0" fontId="2" numFmtId="2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1">
      <alignment horizontal="center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3" numFmtId="164" fillId="0" borderId="0" applyFont="1" applyNumberFormat="1" applyFill="0" applyBorder="0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optovikufa.ru/product/243295/13f-2-240v-ac-1015a-rele-elektromagnitnoe/" TargetMode="External"/><Relationship Id="rId_hyperlink_2" Type="http://schemas.openxmlformats.org/officeDocument/2006/relationships/hyperlink" Target="https://optovikufa.ru/product/243296/13f-2-24v-dc-1015a-rele-elektromagnitnoe/" TargetMode="External"/><Relationship Id="rId_hyperlink_3" Type="http://schemas.openxmlformats.org/officeDocument/2006/relationships/hyperlink" Target="https://optovikufa.ru/product/243290/avtomaticheskiy-vyklyuchatel-model-1p-6a-cva-47-29-45-ka-iek/" TargetMode="External"/><Relationship Id="rId_hyperlink_4" Type="http://schemas.openxmlformats.org/officeDocument/2006/relationships/hyperlink" Target="https://optovikufa.ru/product/243286/avtomaticheskiy-vyklyuchatel-model-2p-40a-45-ka-h-ka-c-230v-systeme-electric-city-9-c9f34240/" TargetMode="External"/><Relationship Id="rId_hyperlink_5" Type="http://schemas.openxmlformats.org/officeDocument/2006/relationships/hyperlink" Target="https://optovikufa.ru/product/243285/avtomaticheskiy-vyklyuchatel-model-2p-63a-45-ka-h-ka-c-230v-systeme-electric-city-9-c9f34263/" TargetMode="External"/><Relationship Id="rId_hyperlink_6" Type="http://schemas.openxmlformats.org/officeDocument/2006/relationships/hyperlink" Target="https://optovikufa.ru/product/243123/audio-gnezdo-35-mm-stereo-metall-na-korpus-s-gaykoy-trubka-5/" TargetMode="External"/><Relationship Id="rId_hyperlink_7" Type="http://schemas.openxmlformats.org/officeDocument/2006/relationships/hyperlink" Target="https://optovikufa.ru/product/243122/audio-gnezdo-35-mm-stereo-metall-na-korpus-s-gaykoy-trubka-5/" TargetMode="External"/><Relationship Id="rId_hyperlink_8" Type="http://schemas.openxmlformats.org/officeDocument/2006/relationships/hyperlink" Target="https://optovikufa.ru/product/241550/audio-kabel-au05-2-x-jack-63-65-mm-jack-35-mm-15m-style/" TargetMode="External"/><Relationship Id="rId_hyperlink_9" Type="http://schemas.openxmlformats.org/officeDocument/2006/relationships/hyperlink" Target="https://optovikufa.ru/product/243307/audio-kabel-au08-mikrofonnyy-stereo-xlr-f-63-65-15m-dream-style/" TargetMode="External"/><Relationship Id="rId_hyperlink_10" Type="http://schemas.openxmlformats.org/officeDocument/2006/relationships/hyperlink" Target="https://optovikufa.ru/product/234773/audio-kabel-au08-mikrofonnyy-stereo-xlr-f-63-65-3m-dream-style/" TargetMode="External"/><Relationship Id="rId_hyperlink_11" Type="http://schemas.openxmlformats.org/officeDocument/2006/relationships/hyperlink" Target="https://optovikufa.ru/product/241977/besprovodnye-bluetooth-sportivnye-naushniki-na-sheyu-s-mikrofonom-microsd-kl-18-kin/" TargetMode="External"/><Relationship Id="rId_hyperlink_12" Type="http://schemas.openxmlformats.org/officeDocument/2006/relationships/hyperlink" Target="https://optovikufa.ru/product/235724/blok-pitaniya-live-power-6v3000ma-5525-live-power-lp-92/" TargetMode="External"/><Relationship Id="rId_hyperlink_13" Type="http://schemas.openxmlformats.org/officeDocument/2006/relationships/hyperlink" Target="https://optovikufa.ru/product/243297/bystrozazhimnoy-pruzhinnyy-zazhim-gnezdo-rca/" TargetMode="External"/><Relationship Id="rId_hyperlink_14" Type="http://schemas.openxmlformats.org/officeDocument/2006/relationships/hyperlink" Target="https://optovikufa.ru/product/243227/vstraivaemyy-led-svetilnik-kvadrat-24w6500kip20-dl-smartbuy-square-sbl-dlsq-24-65k/" TargetMode="External"/><Relationship Id="rId_hyperlink_15" Type="http://schemas.openxmlformats.org/officeDocument/2006/relationships/hyperlink" Target="https://optovikufa.ru/product/243291/vyklyuchatel-avt-dif-toka-4p-63a-30ma-tip-as-vd-100-proxima-ekf-elcd-4-32-30-em-pro/" TargetMode="External"/><Relationship Id="rId_hyperlink_16" Type="http://schemas.openxmlformats.org/officeDocument/2006/relationships/hyperlink" Target="https://optovikufa.ru/product/242513/vyklyuchatel-dvuhklavishnyy-ou-belyy-6a-ip20-viking-va-56-232-b-belarus/" TargetMode="External"/><Relationship Id="rId_hyperlink_17" Type="http://schemas.openxmlformats.org/officeDocument/2006/relationships/hyperlink" Target="https://optovikufa.ru/product/242512/vyklyuchatel-odnoklavishnyy-ou-belyy-6a-ip20-viking-va-16-131-b-belarus/" TargetMode="External"/><Relationship Id="rId_hyperlink_18" Type="http://schemas.openxmlformats.org/officeDocument/2006/relationships/hyperlink" Target="https://optovikufa.ru/product/243124/gnezdo-rca-tyulpan-na-kabel-metall-zoloto-komplekt-iz-2h-sht-chernyy-krasnyy/" TargetMode="External"/><Relationship Id="rId_hyperlink_19" Type="http://schemas.openxmlformats.org/officeDocument/2006/relationships/hyperlink" Target="https://optovikufa.ru/product/243311/derzhatel-mobilnogo-telefona-ch113/" TargetMode="External"/><Relationship Id="rId_hyperlink_20" Type="http://schemas.openxmlformats.org/officeDocument/2006/relationships/hyperlink" Target="https://optovikufa.ru/product/241543/kabel-aux-type-c-ky226-chernyy-dream-style/" TargetMode="External"/><Relationship Id="rId_hyperlink_21" Type="http://schemas.openxmlformats.org/officeDocument/2006/relationships/hyperlink" Target="https://optovikufa.ru/product/243247/kabel-audiovideo-hdmi-micro-15m-rezinovyy-h134/" TargetMode="External"/><Relationship Id="rId_hyperlink_22" Type="http://schemas.openxmlformats.org/officeDocument/2006/relationships/hyperlink" Target="https://optovikufa.ru/product/243137/klemma-universalnaya-mnogorazovaya-prohodnaya-2-provodnaya-008-4mm2-sbe-ptcwss-2/" TargetMode="External"/><Relationship Id="rId_hyperlink_23" Type="http://schemas.openxmlformats.org/officeDocument/2006/relationships/hyperlink" Target="https://optovikufa.ru/product/243298/knopka-pb22e06-6pin-6x6x10mm-bez-fiksacii-10/" TargetMode="External"/><Relationship Id="rId_hyperlink_24" Type="http://schemas.openxmlformats.org/officeDocument/2006/relationships/hyperlink" Target="https://optovikufa.ru/product/243299/knopka-pb22e06-6pin-6x6x10mm-s-fiksaciey-7/" TargetMode="External"/><Relationship Id="rId_hyperlink_25" Type="http://schemas.openxmlformats.org/officeDocument/2006/relationships/hyperlink" Target="https://optovikufa.ru/product/243300/knopka-pb22e07-6pin-7x7x12mm-bez-fiksacii-10/" TargetMode="External"/><Relationship Id="rId_hyperlink_26" Type="http://schemas.openxmlformats.org/officeDocument/2006/relationships/hyperlink" Target="https://optovikufa.ru/product/243301/knopka-pb22e07-6pin-7x7x12mm-s-fiksaciey-10/" TargetMode="External"/><Relationship Id="rId_hyperlink_27" Type="http://schemas.openxmlformats.org/officeDocument/2006/relationships/hyperlink" Target="https://optovikufa.ru/product/243302/knopka-pb22e08-6pin-8x8x13mm-bez-fiksacii-10/" TargetMode="External"/><Relationship Id="rId_hyperlink_28" Type="http://schemas.openxmlformats.org/officeDocument/2006/relationships/hyperlink" Target="https://optovikufa.ru/product/243303/knopka-pb22e08-6pin-8x8x13mm-s-fiksaciey-10/" TargetMode="External"/><Relationship Id="rId_hyperlink_29" Type="http://schemas.openxmlformats.org/officeDocument/2006/relationships/hyperlink" Target="https://optovikufa.ru/product/243304/knopka-pb22e09-6pin-85x85x14mm-bez-fiksacii-10/" TargetMode="External"/><Relationship Id="rId_hyperlink_30" Type="http://schemas.openxmlformats.org/officeDocument/2006/relationships/hyperlink" Target="https://optovikufa.ru/product/243305/knopka-pb22e09-6pin-85x85x14mm-s-fiksaciey-10/" TargetMode="External"/><Relationship Id="rId_hyperlink_31" Type="http://schemas.openxmlformats.org/officeDocument/2006/relationships/hyperlink" Target="https://optovikufa.ru/product/243149/knopka-taktovaya-dip-6h6h73mm-kan0611-0731w/" TargetMode="External"/><Relationship Id="rId_hyperlink_32" Type="http://schemas.openxmlformats.org/officeDocument/2006/relationships/hyperlink" Target="https://optovikufa.ru/product/243047/kronshteyn-dlya-televizora-26-55-nastennyy-naklonnyy-chernyy-ep/" TargetMode="External"/><Relationship Id="rId_hyperlink_33" Type="http://schemas.openxmlformats.org/officeDocument/2006/relationships/hyperlink" Target="https://optovikufa.ru/product/242227/lenta-malyarnaya-skotch-bumazhnyy-258mm/" TargetMode="External"/><Relationship Id="rId_hyperlink_34" Type="http://schemas.openxmlformats.org/officeDocument/2006/relationships/hyperlink" Target="https://optovikufa.ru/product/242233/marker-permanentnyy-krasnyy-kruglyy-lit/" TargetMode="External"/><Relationship Id="rId_hyperlink_35" Type="http://schemas.openxmlformats.org/officeDocument/2006/relationships/hyperlink" Target="https://optovikufa.ru/product/243076/maska-svarschika-ekonom-matovaya/" TargetMode="External"/><Relationship Id="rId_hyperlink_36" Type="http://schemas.openxmlformats.org/officeDocument/2006/relationships/hyperlink" Target="https://optovikufa.ru/product/243132/mashinka-dlya-strizhki-volos-ergolux-elx-hc01-c48/" TargetMode="External"/><Relationship Id="rId_hyperlink_37" Type="http://schemas.openxmlformats.org/officeDocument/2006/relationships/hyperlink" Target="https://optovikufa.ru/product/243133/mashinka-dlya-strizhki-volos-ergolux-elx-hc02-c10/" TargetMode="External"/><Relationship Id="rId_hyperlink_38" Type="http://schemas.openxmlformats.org/officeDocument/2006/relationships/hyperlink" Target="https://optovikufa.ru/product/243134/mashinka-dlya-strizhki-volos-ergolux-elx-hc03-c42/" TargetMode="External"/><Relationship Id="rId_hyperlink_39" Type="http://schemas.openxmlformats.org/officeDocument/2006/relationships/hyperlink" Target="https://optovikufa.ru/product/243111/mikrofon-petlichnyy-besprovodnoy-telefona-bluetooth-k11-type-c/" TargetMode="External"/><Relationship Id="rId_hyperlink_40" Type="http://schemas.openxmlformats.org/officeDocument/2006/relationships/hyperlink" Target="https://optovikufa.ru/product/241953/mikrofon-petlichnyy-besprovodnoy-telefona-bluetooth-k9-type-c/" TargetMode="External"/><Relationship Id="rId_hyperlink_41" Type="http://schemas.openxmlformats.org/officeDocument/2006/relationships/hyperlink" Target="https://optovikufa.ru/product/241954/mikrofon-petlichnyy-besprovodnoy-telefona-bluetooth-k9-type-c-2-v-1/" TargetMode="External"/><Relationship Id="rId_hyperlink_42" Type="http://schemas.openxmlformats.org/officeDocument/2006/relationships/hyperlink" Target="https://optovikufa.ru/product/243230/montazhnaya-ploschadka-dlya-styazhki-homutov-1510mm-dlya-homutov-shirinoy-do-4mm-belaya-sbe-ctb-1-w/" TargetMode="External"/><Relationship Id="rId_hyperlink_43" Type="http://schemas.openxmlformats.org/officeDocument/2006/relationships/hyperlink" Target="https://optovikufa.ru/product/243229/montazhnaya-ploschadka-dlya-styazhki-homutov-1510mm-dlya-homutov-shirinoy-do-4mm-chernaya-sbe-ctb-1-b/" TargetMode="External"/><Relationship Id="rId_hyperlink_44" Type="http://schemas.openxmlformats.org/officeDocument/2006/relationships/hyperlink" Target="https://optovikufa.ru/product/240803/montazhnaya-ploschadka-dlya-styazhki-homutov-2010mm-dlya-homutov-shirinoy-do-4mm-belaya-sbe-ctb-0-w/" TargetMode="External"/><Relationship Id="rId_hyperlink_45" Type="http://schemas.openxmlformats.org/officeDocument/2006/relationships/hyperlink" Target="https://optovikufa.ru/product/243228/montazhnaya-ploschadka-dlya-styazhki-homutov-2010mm-dlya-homutov-shirinoy-do-4mm-chernaya-sbe-ctb-0-b/" TargetMode="External"/><Relationship Id="rId_hyperlink_46" Type="http://schemas.openxmlformats.org/officeDocument/2006/relationships/hyperlink" Target="https://optovikufa.ru/product/243270/montazhnaya-ploschadka-dlya-styazhki-homutov-2216mm-dlya-homutov-shirinoy-do-9mm-belaya-sbe-ctb-2-w/" TargetMode="External"/><Relationship Id="rId_hyperlink_47" Type="http://schemas.openxmlformats.org/officeDocument/2006/relationships/hyperlink" Target="https://optovikufa.ru/product/241949/montazhnaya-ploschadka-dlya-styazhki-homutov-2216mm-dlya-homutov-shirinoy-do-9mm-chernaya-sbe-ctb-2-b/" TargetMode="External"/><Relationship Id="rId_hyperlink_48" Type="http://schemas.openxmlformats.org/officeDocument/2006/relationships/hyperlink" Target="https://optovikufa.ru/product/243231/mysh-provodnaya-smartbuy-288k-usb-zelenaya-s-podsvetkoy-bezzvuchnaya/" TargetMode="External"/><Relationship Id="rId_hyperlink_49" Type="http://schemas.openxmlformats.org/officeDocument/2006/relationships/hyperlink" Target="https://optovikufa.ru/product/243232/mysh-provodnaya-smartbuy-288k-usb-rozovaya-s-podsvetkoy-bezzvuchnaya/" TargetMode="External"/><Relationship Id="rId_hyperlink_50" Type="http://schemas.openxmlformats.org/officeDocument/2006/relationships/hyperlink" Target="https://optovikufa.ru/product/243233/mysh-provodnaya-smartbuy-288k-usb-sirenevaya-s-podsvetkoy-bezzvuchnaya/" TargetMode="External"/><Relationship Id="rId_hyperlink_51" Type="http://schemas.openxmlformats.org/officeDocument/2006/relationships/hyperlink" Target="https://optovikufa.ru/product/243125/nabor-perehodnikov-dlya-blokov-pitaniya-s-55x21mm-gn-na-pitanie-sht-34-vida/" TargetMode="External"/><Relationship Id="rId_hyperlink_52" Type="http://schemas.openxmlformats.org/officeDocument/2006/relationships/hyperlink" Target="https://optovikufa.ru/product/243012/nabor-stuslo-i-nozhovka-bolshoy-300mm-vysota-zubev-4mm-shag-4mm-spark-lux/" TargetMode="External"/><Relationship Id="rId_hyperlink_53" Type="http://schemas.openxmlformats.org/officeDocument/2006/relationships/hyperlink" Target="https://optovikufa.ru/product/242860/nakleyka-shrift-dlya-klaviatury-d2-tech-sf-01w-russkiy-shrift-belyy-cvet-na-prozrachnom-fone/" TargetMode="External"/><Relationship Id="rId_hyperlink_54" Type="http://schemas.openxmlformats.org/officeDocument/2006/relationships/hyperlink" Target="https://optovikufa.ru/product/235740/obezzhiryvatel-universalnyy-pet-05l-dphi-tu/" TargetMode="External"/><Relationship Id="rId_hyperlink_55" Type="http://schemas.openxmlformats.org/officeDocument/2006/relationships/hyperlink" Target="https://optovikufa.ru/product/240997/olifa-termopolimernaya-pet-05l-dphi-tu/" TargetMode="External"/><Relationship Id="rId_hyperlink_56" Type="http://schemas.openxmlformats.org/officeDocument/2006/relationships/hyperlink" Target="https://optovikufa.ru/product/243121/ochistitel-udalitel-nakleek-kleya-i-skotcha-tonirovochnoy-plenki-avk-692-avs-520ml/" TargetMode="External"/><Relationship Id="rId_hyperlink_57" Type="http://schemas.openxmlformats.org/officeDocument/2006/relationships/hyperlink" Target="https://optovikufa.ru/product/241002/passatizhi-mini-45-oranzhevo-chernaya-ruchka/" TargetMode="External"/><Relationship Id="rId_hyperlink_58" Type="http://schemas.openxmlformats.org/officeDocument/2006/relationships/hyperlink" Target="https://optovikufa.ru/product/242922/payalnaya-pasta-mechanic-xg30-flyus-dlya-payki-mikroshem-16-gr/" TargetMode="External"/><Relationship Id="rId_hyperlink_59" Type="http://schemas.openxmlformats.org/officeDocument/2006/relationships/hyperlink" Target="https://optovikufa.ru/product/242921/perehodnik-h9-av-to-hdmi-1080/" TargetMode="External"/><Relationship Id="rId_hyperlink_60" Type="http://schemas.openxmlformats.org/officeDocument/2006/relationships/hyperlink" Target="https://optovikufa.ru/product/243104/perehodnik-hdmi-minihdmi-ep/" TargetMode="External"/><Relationship Id="rId_hyperlink_61" Type="http://schemas.openxmlformats.org/officeDocument/2006/relationships/hyperlink" Target="https://optovikufa.ru/product/242991/perehodnik-hdmi-vga-aux-20sm-ep/" TargetMode="External"/><Relationship Id="rId_hyperlink_62" Type="http://schemas.openxmlformats.org/officeDocument/2006/relationships/hyperlink" Target="https://optovikufa.ru/product/243310/perehodnik-otg-type-c-shteker-usb-gnezdo-dream-style-z27/" TargetMode="External"/><Relationship Id="rId_hyperlink_63" Type="http://schemas.openxmlformats.org/officeDocument/2006/relationships/hyperlink" Target="https://optovikufa.ru/product/243054/podstavka-dlya-naushnikov-bez-nozhek/" TargetMode="External"/><Relationship Id="rId_hyperlink_64" Type="http://schemas.openxmlformats.org/officeDocument/2006/relationships/hyperlink" Target="https://optovikufa.ru/product/243053/podstavka-dlya-naushnikov-nozhki/" TargetMode="External"/><Relationship Id="rId_hyperlink_65" Type="http://schemas.openxmlformats.org/officeDocument/2006/relationships/hyperlink" Target="https://optovikufa.ru/product/236308/preobrazoval-rzhavchiny-pet-05ldphi-tu/" TargetMode="External"/><Relationship Id="rId_hyperlink_66" Type="http://schemas.openxmlformats.org/officeDocument/2006/relationships/hyperlink" Target="https://optovikufa.ru/product/242210/preobrazovatel-napryazheniya-dream-v12-usb-dc-55-na-25-5v-12v-1000ma/" TargetMode="External"/><Relationship Id="rId_hyperlink_67" Type="http://schemas.openxmlformats.org/officeDocument/2006/relationships/hyperlink" Target="https://optovikufa.ru/product/243309/pristavka-dlya-cifrovogo-tv-resiver-dvb-t2-yasin-dvb-t8000-wi-fi/" TargetMode="External"/><Relationship Id="rId_hyperlink_68" Type="http://schemas.openxmlformats.org/officeDocument/2006/relationships/hyperlink" Target="https://optovikufa.ru/product/242720/pult-philips-style-2422-549-90301/" TargetMode="External"/><Relationship Id="rId_hyperlink_69" Type="http://schemas.openxmlformats.org/officeDocument/2006/relationships/hyperlink" Target="https://optovikufa.ru/product/242999/razvetvitel-prikurivatelya-olesson-wf-1605/" TargetMode="External"/><Relationship Id="rId_hyperlink_70" Type="http://schemas.openxmlformats.org/officeDocument/2006/relationships/hyperlink" Target="https://optovikufa.ru/product/242988/rastvoritel-646-pnd-05l-dphi-gost/" TargetMode="External"/><Relationship Id="rId_hyperlink_71" Type="http://schemas.openxmlformats.org/officeDocument/2006/relationships/hyperlink" Target="https://optovikufa.ru/product/243223/raciya-baofeng-uv-5r-8vt-136-174400-520mgc-vhfuhf-128-kanalov-s-garnituroy/" TargetMode="External"/><Relationship Id="rId_hyperlink_72" Type="http://schemas.openxmlformats.org/officeDocument/2006/relationships/hyperlink" Target="https://optovikufa.ru/product/243224/raciya-baofeng-uv-82-8vt-136-174400-520mgc-vhfuhf-128-kanalov/" TargetMode="External"/><Relationship Id="rId_hyperlink_73" Type="http://schemas.openxmlformats.org/officeDocument/2006/relationships/hyperlink" Target="https://optovikufa.ru/product/243225/raciya-baofeng-uv-82-8vt-136-174400-520mgc-vhfuhf-128-kanalov-sgarnituroy/" TargetMode="External"/><Relationship Id="rId_hyperlink_74" Type="http://schemas.openxmlformats.org/officeDocument/2006/relationships/hyperlink" Target="https://optovikufa.ru/product/243035/rele-tverdotelnoe-odnofaznoe-25a-24vdc-ekf-proxima-rtp-25-da/" TargetMode="External"/><Relationship Id="rId_hyperlink_75" Type="http://schemas.openxmlformats.org/officeDocument/2006/relationships/hyperlink" Target="https://optovikufa.ru/product/243036/rele-tverdotelnoe-odnofaznoe-40a-24vdc-ekf-proxima-rtp-40-da/" TargetMode="External"/><Relationship Id="rId_hyperlink_76" Type="http://schemas.openxmlformats.org/officeDocument/2006/relationships/hyperlink" Target="https://optovikufa.ru/product/239620/rozetka-dvuhmestnaya-ou-bz-ip20-16a-belyy-ra-16-237-b-belarus/" TargetMode="External"/><Relationship Id="rId_hyperlink_77" Type="http://schemas.openxmlformats.org/officeDocument/2006/relationships/hyperlink" Target="https://optovikufa.ru/product/243271/rozetka-dvuhmestnaya-ou-sz-ip20-16a-belyy-ra-16-238-b-belarus/" TargetMode="External"/><Relationship Id="rId_hyperlink_78" Type="http://schemas.openxmlformats.org/officeDocument/2006/relationships/hyperlink" Target="https://optovikufa.ru/product/242024/rozetka-odnomestnaya-ou-bz-ip20-16a-belyy-viking-ra16-131-b-belarus/" TargetMode="External"/><Relationship Id="rId_hyperlink_79" Type="http://schemas.openxmlformats.org/officeDocument/2006/relationships/hyperlink" Target="https://optovikufa.ru/product/240696/rozetka-odnomestnaya-ou-sz-ip20-16a-belyy-viking-ra-16-133-b-belarus/" TargetMode="External"/><Relationship Id="rId_hyperlink_80" Type="http://schemas.openxmlformats.org/officeDocument/2006/relationships/hyperlink" Target="https://optovikufa.ru/product/240698/rozetka-odnomestnaya-ou-sz-ip44-16a-belyy-viking-ra16-211-b-belarus/" TargetMode="External"/><Relationship Id="rId_hyperlink_81" Type="http://schemas.openxmlformats.org/officeDocument/2006/relationships/hyperlink" Target="https://optovikufa.ru/product/243272/rozetka-trehmestnaya-ou-sz-ip20-16a-belyy-viking-ra-16-343-b-belarus/" TargetMode="External"/><Relationship Id="rId_hyperlink_82" Type="http://schemas.openxmlformats.org/officeDocument/2006/relationships/hyperlink" Target="https://optovikufa.ru/product/243277/svetilnik-osn-naklonnoe-bez-stekla-s-patronompolipropilen-belyy-nbp-01-06-004-uz/" TargetMode="External"/><Relationship Id="rId_hyperlink_83" Type="http://schemas.openxmlformats.org/officeDocument/2006/relationships/hyperlink" Target="https://optovikufa.ru/product/243275/svetilnik-osn-pryamoe-bez-stekla-polipropilen-belyy-nbp-01-06-004/" TargetMode="External"/><Relationship Id="rId_hyperlink_84" Type="http://schemas.openxmlformats.org/officeDocument/2006/relationships/hyperlink" Target="https://optovikufa.ru/product/243273/svetilnik-osn-pryamoe-shar-plastik-nbp-01-06-004-uz/" TargetMode="External"/><Relationship Id="rId_hyperlink_85" Type="http://schemas.openxmlformats.org/officeDocument/2006/relationships/hyperlink" Target="https://optovikufa.ru/product/243274/svetilnik-osn-pryamoe-shar-steklo-nbp-01-06-004-uz/" TargetMode="External"/><Relationship Id="rId_hyperlink_86" Type="http://schemas.openxmlformats.org/officeDocument/2006/relationships/hyperlink" Target="https://optovikufa.ru/product/243315/svetodiodnyy-usb-svetilnik-c6-8-led-cool-teplyy-svet-dream/" TargetMode="External"/><Relationship Id="rId_hyperlink_87" Type="http://schemas.openxmlformats.org/officeDocument/2006/relationships/hyperlink" Target="https://optovikufa.ru/product/238484/setevoy-filtr-ns3-1440w-2xusb-6a-type-c-12w-dream-style/" TargetMode="External"/><Relationship Id="rId_hyperlink_88" Type="http://schemas.openxmlformats.org/officeDocument/2006/relationships/hyperlink" Target="https://optovikufa.ru/product/237832/setevoy-shnur-2pin-c7-15m/" TargetMode="External"/><Relationship Id="rId_hyperlink_89" Type="http://schemas.openxmlformats.org/officeDocument/2006/relationships/hyperlink" Target="https://optovikufa.ru/product/243313/szu-na-pd-2-gnezda-type-c-dream-pd5-20w-skorostnaya-zaryadka/" TargetMode="External"/><Relationship Id="rId_hyperlink_90" Type="http://schemas.openxmlformats.org/officeDocument/2006/relationships/hyperlink" Target="https://optovikufa.ru/product/243314/szu-na-pd-2-gnezda-type-c-dream-pd6-50w-skorostnaya-zaryadka/" TargetMode="External"/><Relationship Id="rId_hyperlink_91" Type="http://schemas.openxmlformats.org/officeDocument/2006/relationships/hyperlink" Target="https://optovikufa.ru/product/243000/skotch-armirovannyy-seryy-45h22/" TargetMode="External"/><Relationship Id="rId_hyperlink_92" Type="http://schemas.openxmlformats.org/officeDocument/2006/relationships/hyperlink" Target="https://optovikufa.ru/product/243001/skotch-armirovannyy-seryy-45h80/" TargetMode="External"/><Relationship Id="rId_hyperlink_93" Type="http://schemas.openxmlformats.org/officeDocument/2006/relationships/hyperlink" Target="https://optovikufa.ru/product/243003/skotch-armirovannyy-seryy-56h22/" TargetMode="External"/><Relationship Id="rId_hyperlink_94" Type="http://schemas.openxmlformats.org/officeDocument/2006/relationships/hyperlink" Target="https://optovikufa.ru/product/243004/skotch-armirovannyy-seryy-56h80/" TargetMode="External"/><Relationship Id="rId_hyperlink_95" Type="http://schemas.openxmlformats.org/officeDocument/2006/relationships/hyperlink" Target="https://optovikufa.ru/product/243255/smazka-pronikayuschaya-200ml-aerozol-ab-8-analog-wd-40-universalnaya-abro/" TargetMode="External"/><Relationship Id="rId_hyperlink_96" Type="http://schemas.openxmlformats.org/officeDocument/2006/relationships/hyperlink" Target="https://optovikufa.ru/product/242986/solvent-pet-05l-dphi-tu/" TargetMode="External"/><Relationship Id="rId_hyperlink_97" Type="http://schemas.openxmlformats.org/officeDocument/2006/relationships/hyperlink" Target="https://optovikufa.ru/product/242375/stoyka-shestigrannaya-neylon-10mm-gayka-gayka-m3-htp-310/" TargetMode="External"/><Relationship Id="rId_hyperlink_98" Type="http://schemas.openxmlformats.org/officeDocument/2006/relationships/hyperlink" Target="https://optovikufa.ru/product/242376/stoyka-shestigrannaya-neylon-15mm-gayka-gayka-m3-htp-315/" TargetMode="External"/><Relationship Id="rId_hyperlink_99" Type="http://schemas.openxmlformats.org/officeDocument/2006/relationships/hyperlink" Target="https://optovikufa.ru/product/242377/stoyka-shestigrannaya-neylon-20mm-gayka-gayka-m3-htp-320/" TargetMode="External"/><Relationship Id="rId_hyperlink_100" Type="http://schemas.openxmlformats.org/officeDocument/2006/relationships/hyperlink" Target="https://optovikufa.ru/product/242378/stoyka-shestigrannaya-neylon-25mm-gayka-gayka-m3-htp-325/" TargetMode="External"/><Relationship Id="rId_hyperlink_101" Type="http://schemas.openxmlformats.org/officeDocument/2006/relationships/hyperlink" Target="https://optovikufa.ru/product/242379/stoyka-shestigrannaya-neylon-30mm-gayka-gayka-m3-htp-330/" TargetMode="External"/><Relationship Id="rId_hyperlink_102" Type="http://schemas.openxmlformats.org/officeDocument/2006/relationships/hyperlink" Target="https://optovikufa.ru/product/242374/stoyka-shestigrannaya-neylon-6mm-gayka-gayka-m3-htp-306/" TargetMode="External"/><Relationship Id="rId_hyperlink_103" Type="http://schemas.openxmlformats.org/officeDocument/2006/relationships/hyperlink" Target="https://optovikufa.ru/product/242381/stoyka-shestigrannaya-neylon-vint-gayka-10mm-m3h5-hts-310/" TargetMode="External"/><Relationship Id="rId_hyperlink_104" Type="http://schemas.openxmlformats.org/officeDocument/2006/relationships/hyperlink" Target="https://optovikufa.ru/product/242382/stoyka-shestigrannaya-neylon-vint-gayka-20mm-m3h6-hts-320/" TargetMode="External"/><Relationship Id="rId_hyperlink_105" Type="http://schemas.openxmlformats.org/officeDocument/2006/relationships/hyperlink" Target="https://optovikufa.ru/product/242383/stoyka-shestigrannaya-neylon-vint-gayka-30mm-m3h6-hts-330/" TargetMode="External"/><Relationship Id="rId_hyperlink_106" Type="http://schemas.openxmlformats.org/officeDocument/2006/relationships/hyperlink" Target="https://optovikufa.ru/product/242380/stoyka-shestigrannaya-neylon-vint-gayka-6mm-m3h6-hts-306/" TargetMode="External"/><Relationship Id="rId_hyperlink_107" Type="http://schemas.openxmlformats.org/officeDocument/2006/relationships/hyperlink" Target="https://optovikufa.ru/product/153971/super-kley-moment-kley-karandash-20gr/" TargetMode="External"/><Relationship Id="rId_hyperlink_108" Type="http://schemas.openxmlformats.org/officeDocument/2006/relationships/hyperlink" Target="https://optovikufa.ru/product/243130/taymer-mehanicheskiy-garin-kt-04/" TargetMode="External"/><Relationship Id="rId_hyperlink_109" Type="http://schemas.openxmlformats.org/officeDocument/2006/relationships/hyperlink" Target="https://optovikufa.ru/product/243127/taymer-elektronnyy-garin-kt-01/" TargetMode="External"/><Relationship Id="rId_hyperlink_110" Type="http://schemas.openxmlformats.org/officeDocument/2006/relationships/hyperlink" Target="https://optovikufa.ru/product/242958/termobutylka-flyazhka-nerzhaveyuschaya-stal-600ml-s-trubochkoy-na-remeshke-16405-14/" TargetMode="External"/><Relationship Id="rId_hyperlink_111" Type="http://schemas.openxmlformats.org/officeDocument/2006/relationships/hyperlink" Target="https://optovikufa.ru/product/242959/termobutylka-flyazhka-nerzhaveyuschaya-stal-800ml-s-trubochkoy-na-remeshke-16405-15/" TargetMode="External"/><Relationship Id="rId_hyperlink_112" Type="http://schemas.openxmlformats.org/officeDocument/2006/relationships/hyperlink" Target="https://optovikufa.ru/product/242953/termometr-strelochnyy-cy69-metallicheskiy-do-300-gradusov/" TargetMode="External"/><Relationship Id="rId_hyperlink_113" Type="http://schemas.openxmlformats.org/officeDocument/2006/relationships/hyperlink" Target="https://optovikufa.ru/product/242954/termometr-strelochnyy-cy70-metallicheskiy-do-320-gradusov/" TargetMode="External"/><Relationship Id="rId_hyperlink_114" Type="http://schemas.openxmlformats.org/officeDocument/2006/relationships/hyperlink" Target="https://optovikufa.ru/product/242974/termometr-elektronnyy-dlya-akvariumov-0-37c-dc16/" TargetMode="External"/><Relationship Id="rId_hyperlink_115" Type="http://schemas.openxmlformats.org/officeDocument/2006/relationships/hyperlink" Target="https://optovikufa.ru/product/242975/termometr-elektronnyy-dlya-holodilnika-4070c-s-signalom-c605/" TargetMode="External"/><Relationship Id="rId_hyperlink_116" Type="http://schemas.openxmlformats.org/officeDocument/2006/relationships/hyperlink" Target="https://optovikufa.ru/product/243015/trimmer-geemy-gm-6639-3v1/" TargetMode="External"/><Relationship Id="rId_hyperlink_117" Type="http://schemas.openxmlformats.org/officeDocument/2006/relationships/hyperlink" Target="https://optovikufa.ru/product/241650/uayt-spirit-pet-05l-dphi-tu/" TargetMode="External"/><Relationship Id="rId_hyperlink_118" Type="http://schemas.openxmlformats.org/officeDocument/2006/relationships/hyperlink" Target="https://optovikufa.ru/product/242263/udalitel-cementnyh-pyaten-pet-05l/" TargetMode="External"/><Relationship Id="rId_hyperlink_119" Type="http://schemas.openxmlformats.org/officeDocument/2006/relationships/hyperlink" Target="https://optovikufa.ru/product/243226/universalnyy-kley-moment-30ml-dlya-kozhi-i-zamsha-vodostoykiy-rossiya/" TargetMode="External"/><Relationship Id="rId_hyperlink_120" Type="http://schemas.openxmlformats.org/officeDocument/2006/relationships/hyperlink" Target="https://optovikufa.ru/product/243279/usilitel-nch-21-kanalnyy-d-klassa-250w100w-upit-12-26v-48-om-chip-tpa3116d2-xh-m139/" TargetMode="External"/><Relationship Id="rId_hyperlink_121" Type="http://schemas.openxmlformats.org/officeDocument/2006/relationships/hyperlink" Target="https://optovikufa.ru/product/242995/fonar-nalobnyy-872-g-akkumulyatornyy-3-led/" TargetMode="External"/><Relationship Id="rId_hyperlink_122" Type="http://schemas.openxmlformats.org/officeDocument/2006/relationships/hyperlink" Target="https://optovikufa.ru/product/236868/fonar-nalobnyy-mx-t118-t6-szu-azu-2x181650-8800-mah-cherno-seryy-dream/" TargetMode="External"/><Relationship Id="rId_hyperlink_123" Type="http://schemas.openxmlformats.org/officeDocument/2006/relationships/hyperlink" Target="https://optovikufa.ru/product/243256/chernitel-blesk-dlya-shin-550ml-trigger-black-tire-3ton/" TargetMode="External"/><Relationship Id="rId_hyperlink_124" Type="http://schemas.openxmlformats.org/officeDocument/2006/relationships/hyperlink" Target="https://optovikufa.ru/product/237074/shina-n-nulevaya-latun-v-izolyatore-na-din-reyku-6x9mm-6-grupp-smartbuy-sbe-bc-6-dri/" TargetMode="External"/><Relationship Id="rId_hyperlink_125" Type="http://schemas.openxmlformats.org/officeDocument/2006/relationships/hyperlink" Target="https://optovikufa.ru/product/229136/shina-n-nulevaya-latun-s-izolyatorom-na-din-reyku-6x9mm-10-grupp-smartbuy-sbe-dc-10-dr/" TargetMode="External"/><Relationship Id="rId_hyperlink_126" Type="http://schemas.openxmlformats.org/officeDocument/2006/relationships/hyperlink" Target="https://optovikufa.ru/product/167675/videoregistrator-dashcam-t675-full-hd/" TargetMode="External"/><Relationship Id="rId_hyperlink_127" Type="http://schemas.openxmlformats.org/officeDocument/2006/relationships/hyperlink" Target="https://optovikufa.ru/product/219509/videoregistrator-dream-c218/" TargetMode="External"/><Relationship Id="rId_hyperlink_128" Type="http://schemas.openxmlformats.org/officeDocument/2006/relationships/hyperlink" Target="https://optovikufa.ru/product/241271/videoregistrator-energy-power-h309-hd-sensor-miniusb/" TargetMode="External"/><Relationship Id="rId_hyperlink_129" Type="http://schemas.openxmlformats.org/officeDocument/2006/relationships/hyperlink" Target="https://optovikufa.ru/product/242996/videoregistrator-energy-power-v1-hd-miniusb/" TargetMode="External"/><Relationship Id="rId_hyperlink_130" Type="http://schemas.openxmlformats.org/officeDocument/2006/relationships/hyperlink" Target="https://optovikufa.ru/product/241273/videoregistrator-energy-power-v4-hd-miniusb/" TargetMode="External"/><Relationship Id="rId_hyperlink_131" Type="http://schemas.openxmlformats.org/officeDocument/2006/relationships/hyperlink" Target="https://optovikufa.ru/product/174417/videoregistrator-had-21-1280h720-30ks-ir-podsvetka-miniusb-tf-zapis-zvuka-mikrofon-o/" TargetMode="External"/><Relationship Id="rId_hyperlink_132" Type="http://schemas.openxmlformats.org/officeDocument/2006/relationships/hyperlink" Target="https://optovikufa.ru/product/226697/videoregistrator-t681tp-full-hd/" TargetMode="External"/><Relationship Id="rId_hyperlink_133" Type="http://schemas.openxmlformats.org/officeDocument/2006/relationships/hyperlink" Target="https://optovikufa.ru/product/239803/videoregistrator-t686tp-full-hd/" TargetMode="External"/><Relationship Id="rId_hyperlink_134" Type="http://schemas.openxmlformats.org/officeDocument/2006/relationships/hyperlink" Target="https://optovikufa.ru/product/225247/videoregistrator-ts-car20/" TargetMode="External"/><Relationship Id="rId_hyperlink_135" Type="http://schemas.openxmlformats.org/officeDocument/2006/relationships/hyperlink" Target="https://optovikufa.ru/product/223105/videoregistrator-ts-car22/" TargetMode="External"/><Relationship Id="rId_hyperlink_136" Type="http://schemas.openxmlformats.org/officeDocument/2006/relationships/hyperlink" Target="https://optovikufa.ru/product/239807/videoregistratorzerkalo-l1001c-2-kamery/" TargetMode="External"/><Relationship Id="rId_hyperlink_137" Type="http://schemas.openxmlformats.org/officeDocument/2006/relationships/hyperlink" Target="https://optovikufa.ru/product/220944/videoregistrator-zerkalo-dream-m018-chernyy/" TargetMode="External"/><Relationship Id="rId_hyperlink_138" Type="http://schemas.openxmlformats.org/officeDocument/2006/relationships/hyperlink" Target="https://optovikufa.ru/product/226662/videoregistrator-zerkalo-dream-m069-2-kamery/" TargetMode="External"/><Relationship Id="rId_hyperlink_139" Type="http://schemas.openxmlformats.org/officeDocument/2006/relationships/hyperlink" Target="https://optovikufa.ru/product/223102/videoregistrator-zerkalo-ts-car10-2-kamery/" TargetMode="External"/><Relationship Id="rId_hyperlink_140" Type="http://schemas.openxmlformats.org/officeDocument/2006/relationships/hyperlink" Target="https://optovikufa.ru/product/241960/videoregistrator-energy-power-a88-wifi-hd-2-kamery-miniusb/" TargetMode="External"/><Relationship Id="rId_hyperlink_141" Type="http://schemas.openxmlformats.org/officeDocument/2006/relationships/hyperlink" Target="https://optovikufa.ru/product/242997/videoregistrator-energy-power-c50b-hd-3-kamery-miniusb/" TargetMode="External"/><Relationship Id="rId_hyperlink_142" Type="http://schemas.openxmlformats.org/officeDocument/2006/relationships/hyperlink" Target="https://optovikufa.ru/product/239190/videoregistrator-t640-2-kamery/" TargetMode="External"/><Relationship Id="rId_hyperlink_143" Type="http://schemas.openxmlformats.org/officeDocument/2006/relationships/hyperlink" Target="https://optovikufa.ru/product/239801/videoregistrator-t661-3-kamery/" TargetMode="External"/><Relationship Id="rId_hyperlink_144" Type="http://schemas.openxmlformats.org/officeDocument/2006/relationships/hyperlink" Target="https://optovikufa.ru/product/239802/videoregistrator-t669/" TargetMode="External"/><Relationship Id="rId_hyperlink_145" Type="http://schemas.openxmlformats.org/officeDocument/2006/relationships/hyperlink" Target="https://optovikufa.ru/product/175273/radar-detektor-orbita-v7-7-diap-360-rezh-mute-trec-city-1000m-avtodoriya-o/" TargetMode="External"/><Relationship Id="rId_hyperlink_146" Type="http://schemas.openxmlformats.org/officeDocument/2006/relationships/hyperlink" Target="https://optovikufa.ru/product/241479/shnur-pitaniya-v-prikurivatel-vitoy-provod-razem-dc-35-135mm-13m-12v-24v/" TargetMode="External"/><Relationship Id="rId_hyperlink_147" Type="http://schemas.openxmlformats.org/officeDocument/2006/relationships/hyperlink" Target="https://optovikufa.ru/product/125490/shnur-pitaniya-v-prikurivatel-vitoy-provod-razem-dc-55-21mm-13m-12v-24v/" TargetMode="External"/><Relationship Id="rId_hyperlink_148" Type="http://schemas.openxmlformats.org/officeDocument/2006/relationships/hyperlink" Target="https://optovikufa.ru/product/240972/shnur-pitaniya-v-prikurivatel-dopolnitelnoe-gnezdo-uglovoy-shteker-12v-35x135mm-15m-lp9/" TargetMode="External"/><Relationship Id="rId_hyperlink_149" Type="http://schemas.openxmlformats.org/officeDocument/2006/relationships/hyperlink" Target="https://optovikufa.ru/product/240973/shnur-pitaniya-v-prikurivatel-dopolnitelnoe-gnezdo-uglovoy-shteker-12v-35x135mm-35m-lp9/" TargetMode="External"/><Relationship Id="rId_hyperlink_150" Type="http://schemas.openxmlformats.org/officeDocument/2006/relationships/hyperlink" Target="https://optovikufa.ru/product/240974/shnur-pitaniya-v-prikurivatel-dopolnitelnoe-gnezdo-uglovoy-shteker-12v-55x25mm-15m-lp9/" TargetMode="External"/><Relationship Id="rId_hyperlink_151" Type="http://schemas.openxmlformats.org/officeDocument/2006/relationships/hyperlink" Target="https://optovikufa.ru/product/240975/shnur-pitaniya-v-prikurivatel-dopolnitelnoe-gnezdo-uglovoy-shteker-12v-55x25mm-35m-lp9/" TargetMode="External"/><Relationship Id="rId_hyperlink_152" Type="http://schemas.openxmlformats.org/officeDocument/2006/relationships/hyperlink" Target="https://optovikufa.ru/product/240886/shnur-pitaniya-v-prikurivatel-knopka-pryamoy-shteker-12v-55x25mm-15m/" TargetMode="External"/><Relationship Id="rId_hyperlink_153" Type="http://schemas.openxmlformats.org/officeDocument/2006/relationships/hyperlink" Target="https://optovikufa.ru/product/242435/shnur-pitaniya-v-prikurivatel-knopka-pryamoy-shteker-12v-55x25mm-15m/" TargetMode="External"/><Relationship Id="rId_hyperlink_154" Type="http://schemas.openxmlformats.org/officeDocument/2006/relationships/hyperlink" Target="https://optovikufa.ru/product/242750/shnur-pitaniya-v-prikurivatel-knopka-uglovoy-shteker-12v-35x135mm-12m-lp8/" TargetMode="External"/><Relationship Id="rId_hyperlink_155" Type="http://schemas.openxmlformats.org/officeDocument/2006/relationships/hyperlink" Target="https://optovikufa.ru/product/231178/shnur-pitaniya-v-prikurivatel-knopka-uglovoy-shteker-12v-35x135mm-35m-lp8/" TargetMode="External"/><Relationship Id="rId_hyperlink_156" Type="http://schemas.openxmlformats.org/officeDocument/2006/relationships/hyperlink" Target="https://optovikufa.ru/product/231180/shnur-pitaniya-v-prikurivatel-knopka-uglovoy-shteker-12v-55x25mm-35m-lp8/" TargetMode="External"/><Relationship Id="rId_hyperlink_157" Type="http://schemas.openxmlformats.org/officeDocument/2006/relationships/hyperlink" Target="https://optovikufa.ru/product/240565/kabel-pitaniya-ustanovochnyy-dlya-avto-25m-12-24v-miniusb-2500ma-tds-ts-cau65/" TargetMode="External"/><Relationship Id="rId_hyperlink_158" Type="http://schemas.openxmlformats.org/officeDocument/2006/relationships/hyperlink" Target="https://optovikufa.ru/product/240566/kabel-pitaniya-ustanovochnyy-dlya-avto-25m-12-24v-miniusb-2500ma-tds-ts-cau66/" TargetMode="External"/><Relationship Id="rId_hyperlink_159" Type="http://schemas.openxmlformats.org/officeDocument/2006/relationships/hyperlink" Target="https://optovikufa.ru/product/233047/shnur-pitaniya-v-prikurivatel-miniusb-lp4-35m-5v-2000ma/" TargetMode="External"/><Relationship Id="rId_hyperlink_160" Type="http://schemas.openxmlformats.org/officeDocument/2006/relationships/hyperlink" Target="https://optovikufa.ru/product/233048/shnur-pitaniya-v-prikurivatel-miniusb-lp5-15m-5v-2000ma/" TargetMode="External"/><Relationship Id="rId_hyperlink_161" Type="http://schemas.openxmlformats.org/officeDocument/2006/relationships/hyperlink" Target="https://optovikufa.ru/product/241687/shnur-pitaniya-v-prikurivatel-miniusb-ts-cau60-35m-12-24v-gnezdo-type-c-pd20w/" TargetMode="External"/><Relationship Id="rId_hyperlink_162" Type="http://schemas.openxmlformats.org/officeDocument/2006/relationships/hyperlink" Target="https://optovikufa.ru/product/127774/shnur-pitaniya-v-prikurivatel-miniusb-xqa1/" TargetMode="External"/><Relationship Id="rId_hyperlink_163" Type="http://schemas.openxmlformats.org/officeDocument/2006/relationships/hyperlink" Target="https://optovikufa.ru/product/129001/kreplenie-dlya-videoregistratora-na-steklo-vintovoe-soedinenie-sharnir-prisoska-ko-020/" TargetMode="External"/><Relationship Id="rId_hyperlink_164" Type="http://schemas.openxmlformats.org/officeDocument/2006/relationships/hyperlink" Target="https://optovikufa.ru/product/136009/kreplenie-dlya-videoregistratora-na-steklo-vintovoe-soedinenie-sharnir-prisoska-ko-027/" TargetMode="External"/><Relationship Id="rId_hyperlink_165" Type="http://schemas.openxmlformats.org/officeDocument/2006/relationships/hyperlink" Target="https://optovikufa.ru/product/129002/kreplenie-dlya-videoregistratora-na-steklo-vintovoe-soedinenie-shtanga-prisoska-ko-021/" TargetMode="External"/><Relationship Id="rId_hyperlink_166" Type="http://schemas.openxmlformats.org/officeDocument/2006/relationships/hyperlink" Target="https://optovikufa.ru/product/136005/kreplenie-dlya-videoregistratora-na-steklo-soedinenie-zaschelka-prisoska-ko-023/" TargetMode="External"/><Relationship Id="rId_hyperlink_167" Type="http://schemas.openxmlformats.org/officeDocument/2006/relationships/hyperlink" Target="https://optovikufa.ru/product/136008/kreplenie-dlya-videoregistratora-na-steklo-soedinenie-zaschelka-prisoska-ko-026/" TargetMode="External"/><Relationship Id="rId_hyperlink_168" Type="http://schemas.openxmlformats.org/officeDocument/2006/relationships/hyperlink" Target="https://optovikufa.ru/product/123798/kreplenie-dlya-videoregistratora-na-steklo-soedinenie-zaschelka-shtanga-prisoska-ko-022/" TargetMode="External"/><Relationship Id="rId_hyperlink_169" Type="http://schemas.openxmlformats.org/officeDocument/2006/relationships/hyperlink" Target="https://optovikufa.ru/product/136006/kreplenie-dlya-videoregistratora-na-steklo-sharnir-prisoska-ko-024/" TargetMode="External"/><Relationship Id="rId_hyperlink_170" Type="http://schemas.openxmlformats.org/officeDocument/2006/relationships/hyperlink" Target="https://optovikufa.ru/product/136007/kreplenie-dlya-videoregistratora-na-steklo-sharnir-prisoska-ko-025/" TargetMode="External"/><Relationship Id="rId_hyperlink_171" Type="http://schemas.openxmlformats.org/officeDocument/2006/relationships/hyperlink" Target="https://optovikufa.ru/product/242359/antenna-avtomobilnaya-aktivnaya-fm-ukv-sv-dv-am-usilenie-do-15-db/" TargetMode="External"/><Relationship Id="rId_hyperlink_172" Type="http://schemas.openxmlformats.org/officeDocument/2006/relationships/hyperlink" Target="https://optovikufa.ru/product/242358/antenna-avtomobilnaya-aktivnaya-fm-ukv-sv-dv-am-usilenie-do-15-db-pryamougolnoe-osnovanie/" TargetMode="External"/><Relationship Id="rId_hyperlink_173" Type="http://schemas.openxmlformats.org/officeDocument/2006/relationships/hyperlink" Target="https://optovikufa.ru/product/238469/antenna-avtomobilnaya-aktivnaya-fm-ukv-usilenie-5-db-dlina-provoda-3m-gorod/" TargetMode="External"/><Relationship Id="rId_hyperlink_174" Type="http://schemas.openxmlformats.org/officeDocument/2006/relationships/hyperlink" Target="https://optovikufa.ru/product/229978/antennyy-usilitel-dlya-avtomobilnogo-radio-fmamdab-25db/" TargetMode="External"/><Relationship Id="rId_hyperlink_175" Type="http://schemas.openxmlformats.org/officeDocument/2006/relationships/hyperlink" Target="https://optovikufa.ru/product/233458/udlinitel-avtomobilnoy-radio-antenny-shteker-gnezdo-1m/" TargetMode="External"/><Relationship Id="rId_hyperlink_176" Type="http://schemas.openxmlformats.org/officeDocument/2006/relationships/hyperlink" Target="https://optovikufa.ru/product/233460/udlinitel-avtomobilnoy-radio-antenny-shteker-gnezdo-2m/" TargetMode="External"/><Relationship Id="rId_hyperlink_177" Type="http://schemas.openxmlformats.org/officeDocument/2006/relationships/hyperlink" Target="https://optovikufa.ru/product/233461/udlinitel-avtomobilnoy-radio-antenny-shteker-gnezdo-3m/" TargetMode="External"/><Relationship Id="rId_hyperlink_178" Type="http://schemas.openxmlformats.org/officeDocument/2006/relationships/hyperlink" Target="https://optovikufa.ru/product/236136/mp3-fm-modulator-azu-qc30-borofone-bc43/" TargetMode="External"/><Relationship Id="rId_hyperlink_179" Type="http://schemas.openxmlformats.org/officeDocument/2006/relationships/hyperlink" Target="https://optovikufa.ru/product/229746/mp3-fm-modulator-a-27-bluetooth-usbmicrosd-kabel-lightningmicrousb-pult/" TargetMode="External"/><Relationship Id="rId_hyperlink_180" Type="http://schemas.openxmlformats.org/officeDocument/2006/relationships/hyperlink" Target="https://optovikufa.ru/product/239554/mp3-fm-modulator-bt-g6/" TargetMode="External"/><Relationship Id="rId_hyperlink_181" Type="http://schemas.openxmlformats.org/officeDocument/2006/relationships/hyperlink" Target="https://optovikufa.ru/product/239556/mp3-fm-modulator-bt-m20/" TargetMode="External"/><Relationship Id="rId_hyperlink_182" Type="http://schemas.openxmlformats.org/officeDocument/2006/relationships/hyperlink" Target="https://optovikufa.ru/product/237944/mp3-fm-modulator-dream-g7-bluetooth-belyy/" TargetMode="External"/><Relationship Id="rId_hyperlink_183" Type="http://schemas.openxmlformats.org/officeDocument/2006/relationships/hyperlink" Target="https://optovikufa.ru/product/220543/mp3-fm-modulator-dream-g7-bluetooth-chernyy/" TargetMode="External"/><Relationship Id="rId_hyperlink_184" Type="http://schemas.openxmlformats.org/officeDocument/2006/relationships/hyperlink" Target="https://optovikufa.ru/product/227906/mp3-fm-modulator-g-28/" TargetMode="External"/><Relationship Id="rId_hyperlink_185" Type="http://schemas.openxmlformats.org/officeDocument/2006/relationships/hyperlink" Target="https://optovikufa.ru/product/230204/mp3-fm-modulator-g-9-bluetooth-usbusb-pitanie-31a/" TargetMode="External"/><Relationship Id="rId_hyperlink_186" Type="http://schemas.openxmlformats.org/officeDocument/2006/relationships/hyperlink" Target="https://optovikufa.ru/product/168267/mp3-fm-modulator-i9-aux-pult/" TargetMode="External"/><Relationship Id="rId_hyperlink_187" Type="http://schemas.openxmlformats.org/officeDocument/2006/relationships/hyperlink" Target="https://optovikufa.ru/product/220339/mp3-fm-modulator-m-12-bluetooth-aux-pult/" TargetMode="External"/><Relationship Id="rId_hyperlink_188" Type="http://schemas.openxmlformats.org/officeDocument/2006/relationships/hyperlink" Target="https://optovikufa.ru/product/234871/mp3-fm-modulator-m-17-bluetooth-aux-microsd-2-usb/" TargetMode="External"/><Relationship Id="rId_hyperlink_189" Type="http://schemas.openxmlformats.org/officeDocument/2006/relationships/hyperlink" Target="https://optovikufa.ru/product/222149/mp3-fm-modulator-s110bt-bluetooth-usb-microusb-aux/" TargetMode="External"/><Relationship Id="rId_hyperlink_190" Type="http://schemas.openxmlformats.org/officeDocument/2006/relationships/hyperlink" Target="https://optovikufa.ru/product/235631/mp3-fm-modulator-t10a-bluetooth/" TargetMode="External"/><Relationship Id="rId_hyperlink_191" Type="http://schemas.openxmlformats.org/officeDocument/2006/relationships/hyperlink" Target="https://optovikufa.ru/product/223925/mp3-fm-modulator-ts-caf07-bluetooth-sdmicrosd-pult/" TargetMode="External"/><Relationship Id="rId_hyperlink_192" Type="http://schemas.openxmlformats.org/officeDocument/2006/relationships/hyperlink" Target="https://optovikufa.ru/product/223927/mp3-fm-modulator-ts-caf11-bluetooth-sdmicrosd-pult/" TargetMode="External"/><Relationship Id="rId_hyperlink_193" Type="http://schemas.openxmlformats.org/officeDocument/2006/relationships/hyperlink" Target="https://optovikufa.ru/product/228470/mp3-fm-modulator-ts-caf12-bluetooth-sdmicrosd-pult/" TargetMode="External"/><Relationship Id="rId_hyperlink_194" Type="http://schemas.openxmlformats.org/officeDocument/2006/relationships/hyperlink" Target="https://optovikufa.ru/product/229571/mp3-fm-modulator-ts-caf13-bluetooth-sdmicrosd-pult/" TargetMode="External"/><Relationship Id="rId_hyperlink_195" Type="http://schemas.openxmlformats.org/officeDocument/2006/relationships/hyperlink" Target="https://optovikufa.ru/product/239589/mp3-fm-modulator-ts-caf20-bluetoothusbpd/" TargetMode="External"/><Relationship Id="rId_hyperlink_196" Type="http://schemas.openxmlformats.org/officeDocument/2006/relationships/hyperlink" Target="https://optovikufa.ru/product/239590/mp3-fm-modulator-ts-caf21-bluetooth-sdmicrosd-pult/" TargetMode="External"/><Relationship Id="rId_hyperlink_197" Type="http://schemas.openxmlformats.org/officeDocument/2006/relationships/hyperlink" Target="https://optovikufa.ru/product/226389/mp3-fm-modulator-x-14-bluetooth/" TargetMode="External"/><Relationship Id="rId_hyperlink_198" Type="http://schemas.openxmlformats.org/officeDocument/2006/relationships/hyperlink" Target="https://optovikufa.ru/product/223635/mp3-fm-modulator-x-21-bluetooth-aux-pult/" TargetMode="External"/><Relationship Id="rId_hyperlink_199" Type="http://schemas.openxmlformats.org/officeDocument/2006/relationships/hyperlink" Target="https://optovikufa.ru/product/241573/avtomagnitola-energy-sound-1782e-bluetooth-2-usb-micro-aux-fm-pult/" TargetMode="External"/><Relationship Id="rId_hyperlink_200" Type="http://schemas.openxmlformats.org/officeDocument/2006/relationships/hyperlink" Target="https://optovikufa.ru/product/183941/akusticheskaya-sistema-avtomobilnaya-calceell-cb-654-d-16-sm-4-polosnaya-koaksial-190vt/" TargetMode="External"/><Relationship Id="rId_hyperlink_201" Type="http://schemas.openxmlformats.org/officeDocument/2006/relationships/hyperlink" Target="https://optovikufa.ru/product/241579/akusticheskaya-sistema-avtomobilnaya-pnr-1643-16cm/" TargetMode="External"/><Relationship Id="rId_hyperlink_202" Type="http://schemas.openxmlformats.org/officeDocument/2006/relationships/hyperlink" Target="https://optovikufa.ru/product/241994/klemma-akusticheskaya-28mm-pozolochennaya-chernaya-10/" TargetMode="External"/><Relationship Id="rId_hyperlink_203" Type="http://schemas.openxmlformats.org/officeDocument/2006/relationships/hyperlink" Target="https://optovikufa.ru/product/241995/klemma-akusticheskaya-48mm-pozolochennaya-krasnaya-10/" TargetMode="External"/><Relationship Id="rId_hyperlink_204" Type="http://schemas.openxmlformats.org/officeDocument/2006/relationships/hyperlink" Target="https://optovikufa.ru/product/241996/klemma-akusticheskaya-635mm-pozolochennaya-krasnayachernaya-10/" TargetMode="External"/><Relationship Id="rId_hyperlink_205" Type="http://schemas.openxmlformats.org/officeDocument/2006/relationships/hyperlink" Target="https://optovikufa.ru/product/241805/klemma-vilochnaya-akusticheskaya-kreplenie-na-vint/" TargetMode="External"/><Relationship Id="rId_hyperlink_206" Type="http://schemas.openxmlformats.org/officeDocument/2006/relationships/hyperlink" Target="https://optovikufa.ru/product/242291/akusticheskiy-komplekt-provodov-1500w-energy-power-8055-8g/" TargetMode="External"/><Relationship Id="rId_hyperlink_207" Type="http://schemas.openxmlformats.org/officeDocument/2006/relationships/hyperlink" Target="https://optovikufa.ru/product/242292/akusticheskiy-komplekt-provodov-1500w-energy-power-bs-320/" TargetMode="External"/><Relationship Id="rId_hyperlink_208" Type="http://schemas.openxmlformats.org/officeDocument/2006/relationships/hyperlink" Target="https://optovikufa.ru/product/242289/akusticheskiy-komplekt-provodov-1500w-energy-power-x9/" TargetMode="External"/><Relationship Id="rId_hyperlink_209" Type="http://schemas.openxmlformats.org/officeDocument/2006/relationships/hyperlink" Target="https://optovikufa.ru/product/242306/akusticheskiy-komplekt-provodov-2500w-energy-power-m8/" TargetMode="External"/><Relationship Id="rId_hyperlink_210" Type="http://schemas.openxmlformats.org/officeDocument/2006/relationships/hyperlink" Target="https://optovikufa.ru/product/238566/akusticheskiy-komplekt-provodov-5m-10ga-ts-cad06/" TargetMode="External"/><Relationship Id="rId_hyperlink_211" Type="http://schemas.openxmlformats.org/officeDocument/2006/relationships/hyperlink" Target="https://optovikufa.ru/product/240561/akusticheskiy-komplekt-provodov-5m-4ga-ts-cad03/" TargetMode="External"/><Relationship Id="rId_hyperlink_212" Type="http://schemas.openxmlformats.org/officeDocument/2006/relationships/hyperlink" Target="https://optovikufa.ru/product/238565/akusticheskiy-komplekt-provodov-5m-8ga-ts-cad05/" TargetMode="External"/><Relationship Id="rId_hyperlink_213" Type="http://schemas.openxmlformats.org/officeDocument/2006/relationships/hyperlink" Target="https://optovikufa.ru/product/240562/konvektor-urovnya-signala-vysokiy-nizkiy-2rca-tds-ts-cad09/" TargetMode="External"/><Relationship Id="rId_hyperlink_214" Type="http://schemas.openxmlformats.org/officeDocument/2006/relationships/hyperlink" Target="https://optovikufa.ru/product/241583/akusticheskiy-komplekt-provodov-bic-tree-sx-8ga-1800w/" TargetMode="External"/><Relationship Id="rId_hyperlink_215" Type="http://schemas.openxmlformats.org/officeDocument/2006/relationships/hyperlink" Target="https://optovikufa.ru/product/241582/akusticheskiy-komplekt-provodov-dv-pioneerok-tb-518-8ga-1800w/" TargetMode="External"/><Relationship Id="rId_hyperlink_216" Type="http://schemas.openxmlformats.org/officeDocument/2006/relationships/hyperlink" Target="https://optovikufa.ru/product/241053/predohranitel-dlya-avto-akustiki-anl-100a-derzhatel-kolba-komplekt-emaz-10410/" TargetMode="External"/><Relationship Id="rId_hyperlink_217" Type="http://schemas.openxmlformats.org/officeDocument/2006/relationships/hyperlink" Target="https://optovikufa.ru/product/241052/predohranitel-dlya-avto-akustiki-anl-80a-derzhatel-kolba-komplekt-emaz-10480/" TargetMode="External"/><Relationship Id="rId_hyperlink_218" Type="http://schemas.openxmlformats.org/officeDocument/2006/relationships/hyperlink" Target="https://optovikufa.ru/product/235868/predohranitel-dlya-avtoakustiki-8agu-12v-60a/" TargetMode="External"/><Relationship Id="rId_hyperlink_219" Type="http://schemas.openxmlformats.org/officeDocument/2006/relationships/hyperlink" Target="https://optovikufa.ru/product/240086/predohranitel-dlya-avtoakustiki-8agu-12v-60a/" TargetMode="External"/><Relationship Id="rId_hyperlink_220" Type="http://schemas.openxmlformats.org/officeDocument/2006/relationships/hyperlink" Target="https://optovikufa.ru/product/226180/evrorazem-iso-awh-0104-shtekery-otvetnaya-chast-konnektor-universalnyy-iz-2sht/" TargetMode="External"/><Relationship Id="rId_hyperlink_221" Type="http://schemas.openxmlformats.org/officeDocument/2006/relationships/hyperlink" Target="https://optovikufa.ru/product/239793/evrorazem-iso-awh-0201-konnektor-universalnyy-iz-2sht/" TargetMode="External"/><Relationship Id="rId_hyperlink_222" Type="http://schemas.openxmlformats.org/officeDocument/2006/relationships/hyperlink" Target="https://optovikufa.ru/product/239794/evrorazem-iso-awh-0204-konnektor-universalnyy-iz-2sht-premium/" TargetMode="External"/><Relationship Id="rId_hyperlink_223" Type="http://schemas.openxmlformats.org/officeDocument/2006/relationships/hyperlink" Target="https://optovikufa.ru/product/143933/avtomobilnyy-kompressor-20-lmin-7-atm-12v-100vt-nabor-nasadok-avs-ks200p-turbo/" TargetMode="External"/><Relationship Id="rId_hyperlink_224" Type="http://schemas.openxmlformats.org/officeDocument/2006/relationships/hyperlink" Target="https://optovikufa.ru/product/135703/avtomobilnyy-kompressor-35-lmin-10-atm-12v-150vt-nabor-nasadok-sumka-avs-ks350l-turbo/" TargetMode="External"/><Relationship Id="rId_hyperlink_225" Type="http://schemas.openxmlformats.org/officeDocument/2006/relationships/hyperlink" Target="https://optovikufa.ru/product/126823/avtomobilnyy-kompressor-40-lmin-10-atm-12v-160vt-elektronnyy-manometr-nabor-nasadok-sumka-avs-ke400el-turbo/" TargetMode="External"/><Relationship Id="rId_hyperlink_226" Type="http://schemas.openxmlformats.org/officeDocument/2006/relationships/hyperlink" Target="https://optovikufa.ru/product/125606/avtomobilnyy-kompressor-40-lmin-150w-12v-10atm-14a-turbo-ka580/" TargetMode="External"/><Relationship Id="rId_hyperlink_227" Type="http://schemas.openxmlformats.org/officeDocument/2006/relationships/hyperlink" Target="https://optovikufa.ru/product/135704/avtomobilnyy-kompressor-45-lmin-10-atm-12v-200vt-nabor-nasadok-sumka-shlang-udlinitel-avs-ks450l-turbo/" TargetMode="External"/><Relationship Id="rId_hyperlink_228" Type="http://schemas.openxmlformats.org/officeDocument/2006/relationships/hyperlink" Target="https://optovikufa.ru/product/135705/avtomobilnyy-kompressor-60-lmin-10-atm-12v-250vt-nabor-nasadok-sumka-shlang-udlinitel-avs-ks600-turbo/" TargetMode="External"/><Relationship Id="rId_hyperlink_229" Type="http://schemas.openxmlformats.org/officeDocument/2006/relationships/hyperlink" Target="https://optovikufa.ru/product/241586/kompressor-tornado-ac-580-12b-35lmin-150psi12-135v14a-s-sumkoy-47555/" TargetMode="External"/><Relationship Id="rId_hyperlink_230" Type="http://schemas.openxmlformats.org/officeDocument/2006/relationships/hyperlink" Target="https://optovikufa.ru/product/241007/kompressor-avtomobilnyy-hoco-ph55-chernyy/" TargetMode="External"/><Relationship Id="rId_hyperlink_231" Type="http://schemas.openxmlformats.org/officeDocument/2006/relationships/hyperlink" Target="https://optovikufa.ru/product/240558/kompressor-avtomobilnyy-tds-ts-caa43/" TargetMode="External"/><Relationship Id="rId_hyperlink_232" Type="http://schemas.openxmlformats.org/officeDocument/2006/relationships/hyperlink" Target="https://optovikufa.ru/product/240715/kompressor-centrobezhnyy-dlya-matrasa-lodki-12220v-kk-04-airline/" TargetMode="External"/><Relationship Id="rId_hyperlink_233" Type="http://schemas.openxmlformats.org/officeDocument/2006/relationships/hyperlink" Target="https://optovikufa.ru/product/239240/kompressor-centrobezhnyy-dlya-matrasa-lodki-12v-kk-03-airline/" TargetMode="External"/><Relationship Id="rId_hyperlink_234" Type="http://schemas.openxmlformats.org/officeDocument/2006/relationships/hyperlink" Target="https://optovikufa.ru/product/232791/shlang-spiralnyy-dlya-kompressora-10m-14-evro-spark-lux/" TargetMode="External"/><Relationship Id="rId_hyperlink_235" Type="http://schemas.openxmlformats.org/officeDocument/2006/relationships/hyperlink" Target="https://optovikufa.ru/product/234163/shlang-spiralnyy-dlya-kompressora-20m-14-evro-spark-lux/" TargetMode="External"/><Relationship Id="rId_hyperlink_236" Type="http://schemas.openxmlformats.org/officeDocument/2006/relationships/hyperlink" Target="https://optovikufa.ru/product/170032/brelok-dlya-signalizacii-lcd-tomahawk-tw-9030/" TargetMode="External"/><Relationship Id="rId_hyperlink_237" Type="http://schemas.openxmlformats.org/officeDocument/2006/relationships/hyperlink" Target="https://optovikufa.ru/product/159042/brelok-dlya-signalizacii-lcd-tomahawk-x5/" TargetMode="External"/><Relationship Id="rId_hyperlink_238" Type="http://schemas.openxmlformats.org/officeDocument/2006/relationships/hyperlink" Target="https://optovikufa.ru/product/170030/brelok-dlya-signalizacii-starline-a91/" TargetMode="External"/><Relationship Id="rId_hyperlink_239" Type="http://schemas.openxmlformats.org/officeDocument/2006/relationships/hyperlink" Target="https://optovikufa.ru/product/125843/brelok-dlya-signalizacii-starline-b9/" TargetMode="External"/><Relationship Id="rId_hyperlink_240" Type="http://schemas.openxmlformats.org/officeDocument/2006/relationships/hyperlink" Target="https://optovikufa.ru/product/223679/chehol-brelka-signalizacii-scher-khan-iv-silikon/" TargetMode="External"/><Relationship Id="rId_hyperlink_241" Type="http://schemas.openxmlformats.org/officeDocument/2006/relationships/hyperlink" Target="https://optovikufa.ru/product/225226/chehol-brelka-signalizacii-scher-khan-vvi-silikon/" TargetMode="External"/><Relationship Id="rId_hyperlink_242" Type="http://schemas.openxmlformats.org/officeDocument/2006/relationships/hyperlink" Target="https://optovikufa.ru/product/126457/chehol-brelka-signalizacii-starline-a6393/" TargetMode="External"/><Relationship Id="rId_hyperlink_243" Type="http://schemas.openxmlformats.org/officeDocument/2006/relationships/hyperlink" Target="https://optovikufa.ru/product/238184/chehol-brelka-signalizacii-starline-e-serii-silikon-krasnyy/" TargetMode="External"/><Relationship Id="rId_hyperlink_244" Type="http://schemas.openxmlformats.org/officeDocument/2006/relationships/hyperlink" Target="https://optovikufa.ru/product/225251/pult-dlya-vorot-shlagbauma-2-knopki-staticheskiy-kod-43392mgc-came-top-432ev-ot-cas07/" TargetMode="External"/><Relationship Id="rId_hyperlink_245" Type="http://schemas.openxmlformats.org/officeDocument/2006/relationships/hyperlink" Target="https://optovikufa.ru/product/237446/pult-dlya-vorot-shlagbauma-4-knopki-kopirovanie-staticheskih-klyuchey-433-mgc-an-motors-at-4/" TargetMode="External"/><Relationship Id="rId_hyperlink_246" Type="http://schemas.openxmlformats.org/officeDocument/2006/relationships/hyperlink" Target="https://optovikufa.ru/product/224246/pult-dlya-vorot-shlagbauma-4-knopki-kopirovanie-staticheskih-klyuchey-433-mgc-apollo-jast-jolly/" TargetMode="External"/><Relationship Id="rId_hyperlink_247" Type="http://schemas.openxmlformats.org/officeDocument/2006/relationships/hyperlink" Target="https://optovikufa.ru/product/232666/pult-dlya-vorot-shlagbauma-4-knopki-kopirovanie-staticheskih-klyuchey-433-mgc-apollo-jast-joy/" TargetMode="External"/><Relationship Id="rId_hyperlink_248" Type="http://schemas.openxmlformats.org/officeDocument/2006/relationships/hyperlink" Target="https://optovikufa.ru/product/143952/pult-dlya-vorot-shlagbauma-4-knopki-staticheskiy-kod-433-mgc-27a/" TargetMode="External"/><Relationship Id="rId_hyperlink_249" Type="http://schemas.openxmlformats.org/officeDocument/2006/relationships/hyperlink" Target="https://optovikufa.ru/product/230554/pult-dlya-vorot-shlagbauma-4-knopki-staticheskiy-kod-433-mgc-27a/" TargetMode="External"/><Relationship Id="rId_hyperlink_250" Type="http://schemas.openxmlformats.org/officeDocument/2006/relationships/hyperlink" Target="https://optovikufa.ru/product/167908/zaryadnoe-ustroystvo-avs-energy-bt-1206t-dlya-avto-akkumulyatora-6a-6v12v/" TargetMode="External"/><Relationship Id="rId_hyperlink_251" Type="http://schemas.openxmlformats.org/officeDocument/2006/relationships/hyperlink" Target="https://optovikufa.ru/product/177921/zaryadnoe-ustroystvo-avs-energy-bt-6010-dlya-avto-akkumulyatora-7a-6v12v/" TargetMode="External"/><Relationship Id="rId_hyperlink_252" Type="http://schemas.openxmlformats.org/officeDocument/2006/relationships/hyperlink" Target="https://optovikufa.ru/product/137572/zaryadnoe-ustroystvo-avs-energy-bt-6023-dlya-avto-akkumulyatora-5a-6v12v/" TargetMode="External"/><Relationship Id="rId_hyperlink_253" Type="http://schemas.openxmlformats.org/officeDocument/2006/relationships/hyperlink" Target="https://optovikufa.ru/product/146139/zaryadnoe-ustroystvo-avs-energy-bt-6040-dlya-avto-akkumulyatora-20a-12v24v/" TargetMode="External"/><Relationship Id="rId_hyperlink_254" Type="http://schemas.openxmlformats.org/officeDocument/2006/relationships/hyperlink" Target="https://optovikufa.ru/product/240834/puskovye-provoda-100a-25m-30c/" TargetMode="External"/><Relationship Id="rId_hyperlink_255" Type="http://schemas.openxmlformats.org/officeDocument/2006/relationships/hyperlink" Target="https://optovikufa.ru/product/228159/puskovye-provoda-200a-228m-sumka-autovirazh-av-911200/" TargetMode="External"/><Relationship Id="rId_hyperlink_256" Type="http://schemas.openxmlformats.org/officeDocument/2006/relationships/hyperlink" Target="https://optovikufa.ru/product/240835/puskovye-provoda-300a-25m-30c/" TargetMode="External"/><Relationship Id="rId_hyperlink_257" Type="http://schemas.openxmlformats.org/officeDocument/2006/relationships/hyperlink" Target="https://optovikufa.ru/product/144533/puskovye-provoda-300a-30m-paket-lavita-la-193300/" TargetMode="External"/><Relationship Id="rId_hyperlink_258" Type="http://schemas.openxmlformats.org/officeDocument/2006/relationships/hyperlink" Target="https://optovikufa.ru/product/228160/puskovye-provoda-300a-228m-sumka-autovirazh-av-911300/" TargetMode="External"/><Relationship Id="rId_hyperlink_259" Type="http://schemas.openxmlformats.org/officeDocument/2006/relationships/hyperlink" Target="https://optovikufa.ru/product/242159/ustroystvo-pusko-zaryadnoe-avtonomnoe-buster-tds-ts-cau53-krasnyy/" TargetMode="External"/><Relationship Id="rId_hyperlink_260" Type="http://schemas.openxmlformats.org/officeDocument/2006/relationships/hyperlink" Target="https://optovikufa.ru/product/239918/ustroystvo-pusko-zaryadnoe-avtonomnoe-buster-tds-ts-cau53-siniy/" TargetMode="External"/><Relationship Id="rId_hyperlink_261" Type="http://schemas.openxmlformats.org/officeDocument/2006/relationships/hyperlink" Target="https://optovikufa.ru/product/239919/ustroystvo-pusko-zaryadnoe-avtonomnoe-buster-tds-ts-cau53-chernyy/" TargetMode="External"/><Relationship Id="rId_hyperlink_262" Type="http://schemas.openxmlformats.org/officeDocument/2006/relationships/hyperlink" Target="https://optovikufa.ru/product/230905/avtomobilnyy-invertor-12220v-100w-robiton-cn100usb-100w/" TargetMode="External"/><Relationship Id="rId_hyperlink_263" Type="http://schemas.openxmlformats.org/officeDocument/2006/relationships/hyperlink" Target="https://optovikufa.ru/product/230366/avtomobilnyy-invertor-12220v-300w-robiton-cn300w/" TargetMode="External"/><Relationship Id="rId_hyperlink_264" Type="http://schemas.openxmlformats.org/officeDocument/2006/relationships/hyperlink" Target="https://optovikufa.ru/product/218121/datchik-parktronika-avs-18mm25m-belyy/" TargetMode="External"/><Relationship Id="rId_hyperlink_265" Type="http://schemas.openxmlformats.org/officeDocument/2006/relationships/hyperlink" Target="https://optovikufa.ru/product/218123/datchik-parktronika-avs-18mm25m-serebro/" TargetMode="External"/><Relationship Id="rId_hyperlink_266" Type="http://schemas.openxmlformats.org/officeDocument/2006/relationships/hyperlink" Target="https://optovikufa.ru/product/218122/datchik-parktronika-avs-20mm25m-belyy/" TargetMode="External"/><Relationship Id="rId_hyperlink_267" Type="http://schemas.openxmlformats.org/officeDocument/2006/relationships/hyperlink" Target="https://optovikufa.ru/product/218124/datchik-parktronika-avs-20mm25m-serebro/" TargetMode="External"/><Relationship Id="rId_hyperlink_268" Type="http://schemas.openxmlformats.org/officeDocument/2006/relationships/hyperlink" Target="https://optovikufa.ru/product/171946/datchik-parktronika-avs-20mm25m-chernyy/" TargetMode="External"/><Relationship Id="rId_hyperlink_269" Type="http://schemas.openxmlformats.org/officeDocument/2006/relationships/hyperlink" Target="https://optovikufa.ru/product/191056/datchik-parktronika-avs-22mm25m-belyy/" TargetMode="External"/><Relationship Id="rId_hyperlink_270" Type="http://schemas.openxmlformats.org/officeDocument/2006/relationships/hyperlink" Target="https://optovikufa.ru/product/175221/datchik-parktronika-avs-22mm25m-temno-seryy/" TargetMode="External"/><Relationship Id="rId_hyperlink_271" Type="http://schemas.openxmlformats.org/officeDocument/2006/relationships/hyperlink" Target="https://optovikufa.ru/product/175222/datchik-parktronika-avs-22mm25m-temno-siniy/" TargetMode="External"/><Relationship Id="rId_hyperlink_272" Type="http://schemas.openxmlformats.org/officeDocument/2006/relationships/hyperlink" Target="https://optovikufa.ru/product/127755/kamera-zadnego-vida-420tvl-ip66-12v-led-podsvetka-parkovochnye-linii/" TargetMode="External"/><Relationship Id="rId_hyperlink_273" Type="http://schemas.openxmlformats.org/officeDocument/2006/relationships/hyperlink" Target="https://optovikufa.ru/product/236883/kamera-zadnego-vida-420tvl-ip66-12v-led-podsvetka-parkovochnye-linii/" TargetMode="External"/><Relationship Id="rId_hyperlink_274" Type="http://schemas.openxmlformats.org/officeDocument/2006/relationships/hyperlink" Target="https://optovikufa.ru/product/227682/kamera-zadnego-vida-420tvl-ip66-12v-led-podsvetka-parkovochnye-linii/" TargetMode="External"/><Relationship Id="rId_hyperlink_275" Type="http://schemas.openxmlformats.org/officeDocument/2006/relationships/hyperlink" Target="https://optovikufa.ru/product/236882/kamera-zadnego-vida-420tvl-ip66-12v-parkovochnye-linii/" TargetMode="External"/><Relationship Id="rId_hyperlink_276" Type="http://schemas.openxmlformats.org/officeDocument/2006/relationships/hyperlink" Target="https://optovikufa.ru/product/236885/kamera-zadnego-vida-420tvl-ip66-12v-parkovochnye-linii-matrica-3003/" TargetMode="External"/><Relationship Id="rId_hyperlink_277" Type="http://schemas.openxmlformats.org/officeDocument/2006/relationships/hyperlink" Target="https://optovikufa.ru/product/236884/kamera-zadnego-vida-420tvl-ip66-12v-parkovochnye-linii-matrica-7955/" TargetMode="External"/><Relationship Id="rId_hyperlink_278" Type="http://schemas.openxmlformats.org/officeDocument/2006/relationships/hyperlink" Target="https://optovikufa.ru/product/236455/kamera-zadnego-vida-500tvl-ip66-12v-4pin-parkovochnye-linii-ts-cav25/" TargetMode="External"/><Relationship Id="rId_hyperlink_279" Type="http://schemas.openxmlformats.org/officeDocument/2006/relationships/hyperlink" Target="https://optovikufa.ru/product/241684/kamera-zadnego-vida-500tvl-ip66-12v-parkovochnye-linii-ts-cav26/" TargetMode="External"/><Relationship Id="rId_hyperlink_280" Type="http://schemas.openxmlformats.org/officeDocument/2006/relationships/hyperlink" Target="https://optovikufa.ru/product/241685/kamera-zadnego-vida-600tvl-ip66-12v/" TargetMode="External"/><Relationship Id="rId_hyperlink_281" Type="http://schemas.openxmlformats.org/officeDocument/2006/relationships/hyperlink" Target="https://optovikufa.ru/product/241686/kamera-zadnego-vida-600tvl-ip66-12v/" TargetMode="External"/><Relationship Id="rId_hyperlink_282" Type="http://schemas.openxmlformats.org/officeDocument/2006/relationships/hyperlink" Target="https://optovikufa.ru/product/240563/kamera-zadnego-vida-600tvl-ip66-12v/" TargetMode="External"/><Relationship Id="rId_hyperlink_283" Type="http://schemas.openxmlformats.org/officeDocument/2006/relationships/hyperlink" Target="https://optovikufa.ru/product/236454/kamera-zadnego-vida-600tvl-ip66-12v-4pin-parkovochnye-linii-ts-cav24/" TargetMode="External"/><Relationship Id="rId_hyperlink_284" Type="http://schemas.openxmlformats.org/officeDocument/2006/relationships/hyperlink" Target="https://optovikufa.ru/product/229574/kamera-zadnego-vida-600tvl-ip66-12v-parkovochnye-linii-ts-cav15/" TargetMode="External"/><Relationship Id="rId_hyperlink_285" Type="http://schemas.openxmlformats.org/officeDocument/2006/relationships/hyperlink" Target="https://optovikufa.ru/product/229575/kamera-zadnego-vida-600tvl-ip66-12v-parkovochnye-linii-ts-cav18/" TargetMode="External"/><Relationship Id="rId_hyperlink_286" Type="http://schemas.openxmlformats.org/officeDocument/2006/relationships/hyperlink" Target="https://optovikufa.ru/product/229576/kamera-zadnego-vida-600tvl-ip66-12v-parkovochnye-linii-ts-cav20/" TargetMode="External"/><Relationship Id="rId_hyperlink_287" Type="http://schemas.openxmlformats.org/officeDocument/2006/relationships/hyperlink" Target="https://optovikufa.ru/product/233375/kamera-zadnego-vida-600tvl-ip66-12v-parkovochnye-linii-razem-jack-dlya-videoregistratorov/" TargetMode="External"/><Relationship Id="rId_hyperlink_288" Type="http://schemas.openxmlformats.org/officeDocument/2006/relationships/hyperlink" Target="https://optovikufa.ru/product/242467/kamera-zadnego-vida-hd-n320-led7080-solution-rybiy-glaz/" TargetMode="External"/><Relationship Id="rId_hyperlink_289" Type="http://schemas.openxmlformats.org/officeDocument/2006/relationships/hyperlink" Target="https://optovikufa.ru/product/235633/kamera-zadnego-vida-universalnaya-babochka-nakladnaya-kruglaya-9/" TargetMode="External"/><Relationship Id="rId_hyperlink_290" Type="http://schemas.openxmlformats.org/officeDocument/2006/relationships/hyperlink" Target="https://optovikufa.ru/product/235635/kamera-zadnego-vida-universalnaya-s-podsvetkoy-12-diodov-na-kronshteyne-kvadratnaya/" TargetMode="External"/><Relationship Id="rId_hyperlink_291" Type="http://schemas.openxmlformats.org/officeDocument/2006/relationships/hyperlink" Target="https://optovikufa.ru/product/235634/kamera-zadnego-vida-universalnaya-s-podsvetkoy-4-dioda-kvadratnaya-2/" TargetMode="External"/><Relationship Id="rId_hyperlink_292" Type="http://schemas.openxmlformats.org/officeDocument/2006/relationships/hyperlink" Target="https://optovikufa.ru/product/191434/kommutator-videosignala-dlya-dvuh-videokamer-parkvision-psb-001-tok-pitaniya-12-a-videovhod1-rca-6-kontaktnyy-mini-din-videovhod2-6-kontaktnyy-mini-din-4-kontaktnyy-mini-din-videovyhod-rca-mini-din-8-kontaktnyy-gabarity-dhshhv-mm-88h72h27/" TargetMode="External"/><Relationship Id="rId_hyperlink_293" Type="http://schemas.openxmlformats.org/officeDocument/2006/relationships/hyperlink" Target="https://optovikufa.ru/product/240544/monitor-avtomobilnyy-43-kamera-zadnego-vida-800h480-9-32v-tds-ts-cav33/" TargetMode="External"/><Relationship Id="rId_hyperlink_294" Type="http://schemas.openxmlformats.org/officeDocument/2006/relationships/hyperlink" Target="https://optovikufa.ru/product/240545/monitor-avtomobilnyy-43-kamera-zadnego-vida-800h480-9-32v-tds-ts-cav35/" TargetMode="External"/><Relationship Id="rId_hyperlink_295" Type="http://schemas.openxmlformats.org/officeDocument/2006/relationships/hyperlink" Target="https://optovikufa.ru/product/167314/monitor-avtomobilnyy-43-12v-2-kanala-ac-430-ts-cav09/" TargetMode="External"/><Relationship Id="rId_hyperlink_296" Type="http://schemas.openxmlformats.org/officeDocument/2006/relationships/hyperlink" Target="https://optovikufa.ru/product/167342/monitor-avtomobilnyy-43-skladnoy/" TargetMode="External"/><Relationship Id="rId_hyperlink_297" Type="http://schemas.openxmlformats.org/officeDocument/2006/relationships/hyperlink" Target="https://optovikufa.ru/product/239116/prikurivatel-avtomobilnyy-12v24v/" TargetMode="External"/><Relationship Id="rId_hyperlink_298" Type="http://schemas.openxmlformats.org/officeDocument/2006/relationships/hyperlink" Target="https://optovikufa.ru/product/241677/prikurivatel-avtomobilnyy-s-gnezdom-komplekt-provod-100mm/" TargetMode="External"/><Relationship Id="rId_hyperlink_299" Type="http://schemas.openxmlformats.org/officeDocument/2006/relationships/hyperlink" Target="https://optovikufa.ru/product/135533/razvetvitel-prikurivatelya-avs-1224-na-2-vyhoda-cs203/" TargetMode="External"/><Relationship Id="rId_hyperlink_300" Type="http://schemas.openxmlformats.org/officeDocument/2006/relationships/hyperlink" Target="https://optovikufa.ru/product/190978/razvetvitel-prikurivatelya-avs-1224-na-2-vyhoda-cs204-so-svetodiodnoy-podsvetkoy/" TargetMode="External"/><Relationship Id="rId_hyperlink_301" Type="http://schemas.openxmlformats.org/officeDocument/2006/relationships/hyperlink" Target="https://optovikufa.ru/product/191851/razvetvitel-prikurivatelya-avs-1224-na-2-vyhoda-cs205-so-svetodiodnoy-podsvetkoy/" TargetMode="External"/><Relationship Id="rId_hyperlink_302" Type="http://schemas.openxmlformats.org/officeDocument/2006/relationships/hyperlink" Target="https://optovikufa.ru/product/190979/razvetvitel-prikurivatelya-avs-1224-na-2-vyhodausb-port-cs212u-so-svetodiodnoy-podsvetkoy/" TargetMode="External"/><Relationship Id="rId_hyperlink_303" Type="http://schemas.openxmlformats.org/officeDocument/2006/relationships/hyperlink" Target="https://optovikufa.ru/product/190980/razvetvitel-prikurivatelya-avs-1224-na-2-vyhodausb-cs213u/" TargetMode="External"/><Relationship Id="rId_hyperlink_304" Type="http://schemas.openxmlformats.org/officeDocument/2006/relationships/hyperlink" Target="https://optovikufa.ru/product/221767/razvetvitel-prikurivatelya-dream-a808-2-gnezda-2-usb/" TargetMode="External"/><Relationship Id="rId_hyperlink_305" Type="http://schemas.openxmlformats.org/officeDocument/2006/relationships/hyperlink" Target="https://optovikufa.ru/product/225761/razvetvitel-prikurivatelya-dream-wf-096-3-gnezda-usb/" TargetMode="External"/><Relationship Id="rId_hyperlink_306" Type="http://schemas.openxmlformats.org/officeDocument/2006/relationships/hyperlink" Target="https://optovikufa.ru/product/225757/razvetvitel-prikurivatelya-dream-wf-0963-3-gnezda-2-usb/" TargetMode="External"/><Relationship Id="rId_hyperlink_307" Type="http://schemas.openxmlformats.org/officeDocument/2006/relationships/hyperlink" Target="https://optovikufa.ru/product/225768/razvetvitel-prikurivatelya-dream-wf-0966-3-gnezda-2-usb/" TargetMode="External"/><Relationship Id="rId_hyperlink_308" Type="http://schemas.openxmlformats.org/officeDocument/2006/relationships/hyperlink" Target="https://optovikufa.ru/product/225739/razvetvitel-prikurivatelya-dream-wf-102-2-gnezda-2-usb/" TargetMode="External"/><Relationship Id="rId_hyperlink_309" Type="http://schemas.openxmlformats.org/officeDocument/2006/relationships/hyperlink" Target="https://optovikufa.ru/product/225769/razvetvitel-prikurivatelya-dream-wf-1204-4-gnezda-2-usb/" TargetMode="External"/><Relationship Id="rId_hyperlink_310" Type="http://schemas.openxmlformats.org/officeDocument/2006/relationships/hyperlink" Target="https://optovikufa.ru/product/158499/razvetvitel-prikurivatelya-olesson-wf-1502-na-shnure-2-gnezda-2-usb-na-1000ma/" TargetMode="External"/><Relationship Id="rId_hyperlink_311" Type="http://schemas.openxmlformats.org/officeDocument/2006/relationships/hyperlink" Target="https://optovikufa.ru/product/152117/razvetvitel-prikurivatelya-olesson-wf-1521-na-shnure-3-gnezda/" TargetMode="External"/><Relationship Id="rId_hyperlink_312" Type="http://schemas.openxmlformats.org/officeDocument/2006/relationships/hyperlink" Target="https://optovikufa.ru/product/145061/razvetvitel-prikurivatelya-olesson-wf-1526-na-nozhke-i-shnure-3-gnezda-1-usb-na-1200ma/" TargetMode="External"/><Relationship Id="rId_hyperlink_313" Type="http://schemas.openxmlformats.org/officeDocument/2006/relationships/hyperlink" Target="https://optovikufa.ru/product/145064/razvetvitel-prikurivatelya-olesson-wf-1632-na-schnure-3-gnezda/" TargetMode="External"/><Relationship Id="rId_hyperlink_314" Type="http://schemas.openxmlformats.org/officeDocument/2006/relationships/hyperlink" Target="https://optovikufa.ru/product/145068/razvetvitel-prikurivatelya-olesson-wf-1635-na-shnure-3-gnezda-2-usb-na-1200ma/" TargetMode="External"/><Relationship Id="rId_hyperlink_315" Type="http://schemas.openxmlformats.org/officeDocument/2006/relationships/hyperlink" Target="https://optovikufa.ru/product/160779/razvetvitel-prikurivatelya-olesson-wf-1636-na-shnure-3-gnezda-2-usb-na-1000ma/" TargetMode="External"/><Relationship Id="rId_hyperlink_316" Type="http://schemas.openxmlformats.org/officeDocument/2006/relationships/hyperlink" Target="https://optovikufa.ru/product/158505/razvetvitel-prikurivatelya-olesson-wf-1644-na-shnure-2-gnezda/" TargetMode="External"/><Relationship Id="rId_hyperlink_317" Type="http://schemas.openxmlformats.org/officeDocument/2006/relationships/hyperlink" Target="https://optovikufa.ru/product/239201/razvetvitel-prikurivatelya-olesson-wf-1653-na-shnure-3-gnezda-2-usb-type-c/" TargetMode="External"/><Relationship Id="rId_hyperlink_318" Type="http://schemas.openxmlformats.org/officeDocument/2006/relationships/hyperlink" Target="https://optovikufa.ru/product/241005/razvetvitel-prikurivatelya-olesson-wf-1654-na-shnure-4-gnezda-2-usb-type-c/" TargetMode="External"/><Relationship Id="rId_hyperlink_319" Type="http://schemas.openxmlformats.org/officeDocument/2006/relationships/hyperlink" Target="https://optovikufa.ru/product/123330/razvetvitel-prikurivatelya-td-303-ts-cau18-vhod-12b-2-vyhoda-12b-2-gnezda-usb/" TargetMode="External"/><Relationship Id="rId_hyperlink_320" Type="http://schemas.openxmlformats.org/officeDocument/2006/relationships/hyperlink" Target="https://optovikufa.ru/product/124301/razvetvitel-prikurivatelya-wf-0120-3-gnusb/" TargetMode="External"/><Relationship Id="rId_hyperlink_321" Type="http://schemas.openxmlformats.org/officeDocument/2006/relationships/hyperlink" Target="https://optovikufa.ru/product/128616/udlinitel-perehodnik-2-krokodila-predohranitel-3a-15m-ap-05-td-61/" TargetMode="External"/><Relationship Id="rId_hyperlink_322" Type="http://schemas.openxmlformats.org/officeDocument/2006/relationships/hyperlink" Target="https://optovikufa.ru/product/239569/udlinitel-avtomobilnogo-prikurivatelya-shteker-gnezdo-prikurivatelya-predohranitel-20a-dlina-36m-ar-06/" TargetMode="External"/><Relationship Id="rId_hyperlink_323" Type="http://schemas.openxmlformats.org/officeDocument/2006/relationships/hyperlink" Target="https://optovikufa.ru/product/241480/udlinitel-prikurivatelya-1224v-2-krokodila-gnezdo-prikurivatelya-provod-215kvmm-1m/" TargetMode="External"/><Relationship Id="rId_hyperlink_324" Type="http://schemas.openxmlformats.org/officeDocument/2006/relationships/hyperlink" Target="https://optovikufa.ru/product/241481/udlinitel-prikurivatelya-1224v-2-krokodila-gnezdo-prikurivatelya-provod-225kvmm-1m/" TargetMode="External"/><Relationship Id="rId_hyperlink_325" Type="http://schemas.openxmlformats.org/officeDocument/2006/relationships/hyperlink" Target="https://optovikufa.ru/product/237447/udlinitel-perehodnik-2-krokodila-gnezdo-prikurivatelya-ne-razbornyy-wf4-ap-04/" TargetMode="External"/><Relationship Id="rId_hyperlink_326" Type="http://schemas.openxmlformats.org/officeDocument/2006/relationships/hyperlink" Target="https://optovikufa.ru/product/234975/avtovizitka-dream-jk-297-plus-chernyy/" TargetMode="External"/><Relationship Id="rId_hyperlink_327" Type="http://schemas.openxmlformats.org/officeDocument/2006/relationships/hyperlink" Target="https://optovikufa.ru/product/240996/avtovizitka-parkovochnaya-cr008-s-nomerom-telefona-serebro/" TargetMode="External"/><Relationship Id="rId_hyperlink_328" Type="http://schemas.openxmlformats.org/officeDocument/2006/relationships/hyperlink" Target="https://optovikufa.ru/product/240995/avtovizitka-parkovochnaya-cr008-s-nomerom-telefona-chernaya/" TargetMode="External"/><Relationship Id="rId_hyperlink_329" Type="http://schemas.openxmlformats.org/officeDocument/2006/relationships/hyperlink" Target="https://optovikufa.ru/product/146172/nakleyka-znak-sh-/" TargetMode="External"/><Relationship Id="rId_hyperlink_330" Type="http://schemas.openxmlformats.org/officeDocument/2006/relationships/hyperlink" Target="https://optovikufa.ru/product/242316/dvorniki-autovirazh-250-19-beskarkasnaya-premium-480mm-8-adapterov/" TargetMode="External"/><Relationship Id="rId_hyperlink_331" Type="http://schemas.openxmlformats.org/officeDocument/2006/relationships/hyperlink" Target="https://optovikufa.ru/product/242317/dvorniki-autovirazh-250-24-beskarkasnaya-premium-600mm-7-adapterov/" TargetMode="External"/><Relationship Id="rId_hyperlink_332" Type="http://schemas.openxmlformats.org/officeDocument/2006/relationships/hyperlink" Target="https://optovikufa.ru/product/122040/dvorniki-avs-bk-28sm-11-1sht-universalnye/" TargetMode="External"/><Relationship Id="rId_hyperlink_333" Type="http://schemas.openxmlformats.org/officeDocument/2006/relationships/hyperlink" Target="https://optovikufa.ru/product/191832/dvorniki-avs-780-bk-21-19-2sht-vw-golfvolvonew-bora/" TargetMode="External"/><Relationship Id="rId_hyperlink_334" Type="http://schemas.openxmlformats.org/officeDocument/2006/relationships/hyperlink" Target="https://optovikufa.ru/product/222326/schetki-stekloochistitelya-avs-maximal-line-28-70sm-10-adapterov/" TargetMode="External"/><Relationship Id="rId_hyperlink_335" Type="http://schemas.openxmlformats.org/officeDocument/2006/relationships/hyperlink" Target="https://optovikufa.ru/product/132558/schetki-stekloochistitelya-avs-multi-cap-5v1-mc-27-68sm/" TargetMode="External"/><Relationship Id="rId_hyperlink_336" Type="http://schemas.openxmlformats.org/officeDocument/2006/relationships/hyperlink" Target="https://optovikufa.ru/product/217145/schetki-stekloochistitelya-avs-optimal-line-28-70sm/" TargetMode="External"/><Relationship Id="rId_hyperlink_337" Type="http://schemas.openxmlformats.org/officeDocument/2006/relationships/hyperlink" Target="https://optovikufa.ru/product/242235/derzhatel-avtomobilnyy-borofone-bh100-plastik-torpedo-dlya-smartfonaplansheta-chernyy/" TargetMode="External"/><Relationship Id="rId_hyperlink_338" Type="http://schemas.openxmlformats.org/officeDocument/2006/relationships/hyperlink" Target="https://optovikufa.ru/product/163450/derzhatel-mobilnogo-telefona-avs-ah-1501-m-magnitnyy-na-deflektor/" TargetMode="External"/><Relationship Id="rId_hyperlink_339" Type="http://schemas.openxmlformats.org/officeDocument/2006/relationships/hyperlink" Target="https://optovikufa.ru/product/171843/derzhatel-mobilnogo-telefona-avs-ah-1709m-magnitnyy-gibkaya-nozhka/" TargetMode="External"/><Relationship Id="rId_hyperlink_340" Type="http://schemas.openxmlformats.org/officeDocument/2006/relationships/hyperlink" Target="https://optovikufa.ru/product/171844/derzhatel-mobilnogo-telefona-avs-ah-1710m-magnitnyy/" TargetMode="External"/><Relationship Id="rId_hyperlink_341" Type="http://schemas.openxmlformats.org/officeDocument/2006/relationships/hyperlink" Target="https://optovikufa.ru/product/223762/derzhatel-mobilnogo-telefona-borofone-bh10-magnitnyy-serebro/" TargetMode="External"/><Relationship Id="rId_hyperlink_342" Type="http://schemas.openxmlformats.org/officeDocument/2006/relationships/hyperlink" Target="https://optovikufa.ru/product/220228/derzhatel-mobilnogo-telefona-borofone-bh12-magnitnyy-chernyy/" TargetMode="External"/><Relationship Id="rId_hyperlink_343" Type="http://schemas.openxmlformats.org/officeDocument/2006/relationships/hyperlink" Target="https://optovikufa.ru/product/221215/derzhatel-mobilnogo-telefona-borofone-bh14-magnitnyy-chernyy/" TargetMode="External"/><Relationship Id="rId_hyperlink_344" Type="http://schemas.openxmlformats.org/officeDocument/2006/relationships/hyperlink" Target="https://optovikufa.ru/product/235049/derzhatel-mobilnogo-telefona-borofone-bh32-magnitnyy-chernyy/" TargetMode="External"/><Relationship Id="rId_hyperlink_345" Type="http://schemas.openxmlformats.org/officeDocument/2006/relationships/hyperlink" Target="https://optovikufa.ru/product/235051/derzhatel-mobilnogo-telefona-borofone-bh37-magnitnyy-chernyy/" TargetMode="External"/><Relationship Id="rId_hyperlink_346" Type="http://schemas.openxmlformats.org/officeDocument/2006/relationships/hyperlink" Target="https://optovikufa.ru/product/235052/derzhatel-mobilnogo-telefona-borofone-bh39-chernyy/" TargetMode="External"/><Relationship Id="rId_hyperlink_347" Type="http://schemas.openxmlformats.org/officeDocument/2006/relationships/hyperlink" Target="https://optovikufa.ru/product/242813/derzhatel-mobilnogo-telefona-borofone-bh40-magnitnyy-chernyy/" TargetMode="External"/><Relationship Id="rId_hyperlink_348" Type="http://schemas.openxmlformats.org/officeDocument/2006/relationships/hyperlink" Target="https://optovikufa.ru/product/235048/derzhatel-mobilnogo-telefona-borofone-bh41-magnitnyy-chernyy/" TargetMode="External"/><Relationship Id="rId_hyperlink_349" Type="http://schemas.openxmlformats.org/officeDocument/2006/relationships/hyperlink" Target="https://optovikufa.ru/product/218685/derzhatel-mobilnogo-telefona-borofone-bh5-magnitnyy-chernyy/" TargetMode="External"/><Relationship Id="rId_hyperlink_350" Type="http://schemas.openxmlformats.org/officeDocument/2006/relationships/hyperlink" Target="https://optovikufa.ru/product/238474/derzhatel-mobilnogo-telefona-borofone-bh67-magnitnyy-chernyy/" TargetMode="External"/><Relationship Id="rId_hyperlink_351" Type="http://schemas.openxmlformats.org/officeDocument/2006/relationships/hyperlink" Target="https://optovikufa.ru/product/242586/derzhatel-mobilnogo-telefona-borofone-bh68-magnitnyy-chernyy/" TargetMode="External"/><Relationship Id="rId_hyperlink_352" Type="http://schemas.openxmlformats.org/officeDocument/2006/relationships/hyperlink" Target="https://optovikufa.ru/product/220230/derzhatel-mobilnogo-telefona-borofone-bh7-magnitnyy-serebro/" TargetMode="External"/><Relationship Id="rId_hyperlink_353" Type="http://schemas.openxmlformats.org/officeDocument/2006/relationships/hyperlink" Target="https://optovikufa.ru/product/232724/derzhatel-mobilnogo-telefona-borofone-bh7-magnitnyy-chernyy/" TargetMode="External"/><Relationship Id="rId_hyperlink_354" Type="http://schemas.openxmlformats.org/officeDocument/2006/relationships/hyperlink" Target="https://optovikufa.ru/product/221921/derzhatel-mobilnogo-telefona-borofone-bh8-magnitnyy-serebro/" TargetMode="External"/><Relationship Id="rId_hyperlink_355" Type="http://schemas.openxmlformats.org/officeDocument/2006/relationships/hyperlink" Target="https://optovikufa.ru/product/221217/derzhatel-mobilnogo-telefona-borofone-bh8-magnitnyy-chernyy/" TargetMode="External"/><Relationship Id="rId_hyperlink_356" Type="http://schemas.openxmlformats.org/officeDocument/2006/relationships/hyperlink" Target="https://optovikufa.ru/product/241424/derzhatel-mobilnogo-telefona-borofone-bh89-na-topedu-magnitnyy-chernyy/" TargetMode="External"/><Relationship Id="rId_hyperlink_357" Type="http://schemas.openxmlformats.org/officeDocument/2006/relationships/hyperlink" Target="https://optovikufa.ru/product/242550/derzhatel-mobilnogo-telefona-dream-ch112-magnitnyy/" TargetMode="External"/><Relationship Id="rId_hyperlink_358" Type="http://schemas.openxmlformats.org/officeDocument/2006/relationships/hyperlink" Target="https://optovikufa.ru/product/242551/derzhatel-mobilnogo-telefona-dream-ch115-magnitnyy/" TargetMode="External"/><Relationship Id="rId_hyperlink_359" Type="http://schemas.openxmlformats.org/officeDocument/2006/relationships/hyperlink" Target="https://optovikufa.ru/product/242552/derzhatel-mobilnogo-telefona-dream-ch116-magnitnyy/" TargetMode="External"/><Relationship Id="rId_hyperlink_360" Type="http://schemas.openxmlformats.org/officeDocument/2006/relationships/hyperlink" Target="https://optovikufa.ru/product/241551/derzhatel-mobilnogo-telefona-dream-ch119-magnitnyy/" TargetMode="External"/><Relationship Id="rId_hyperlink_361" Type="http://schemas.openxmlformats.org/officeDocument/2006/relationships/hyperlink" Target="https://optovikufa.ru/product/218690/derzhatel-mobilnogo-telefona-dream-cm20-magnitnyy-chernyy/" TargetMode="External"/><Relationship Id="rId_hyperlink_362" Type="http://schemas.openxmlformats.org/officeDocument/2006/relationships/hyperlink" Target="https://optovikufa.ru/product/233845/derzhatel-mobilnogo-telefona-dream-d2-magnitnyy/" TargetMode="External"/><Relationship Id="rId_hyperlink_363" Type="http://schemas.openxmlformats.org/officeDocument/2006/relationships/hyperlink" Target="https://optovikufa.ru/product/233846/derzhatel-mobilnogo-telefona-dream-d3-magnitnyy/" TargetMode="External"/><Relationship Id="rId_hyperlink_364" Type="http://schemas.openxmlformats.org/officeDocument/2006/relationships/hyperlink" Target="https://optovikufa.ru/product/234141/derzhatel-mobilnogo-telefona-dream-d4-magnitnyy/" TargetMode="External"/><Relationship Id="rId_hyperlink_365" Type="http://schemas.openxmlformats.org/officeDocument/2006/relationships/hyperlink" Target="https://optovikufa.ru/product/234142/derzhatel-mobilnogo-telefona-dream-d5-magnitnyy/" TargetMode="External"/><Relationship Id="rId_hyperlink_366" Type="http://schemas.openxmlformats.org/officeDocument/2006/relationships/hyperlink" Target="https://optovikufa.ru/product/221155/derzhatel-mobilnogo-telefona-dream-g157-magnitnyy/" TargetMode="External"/><Relationship Id="rId_hyperlink_367" Type="http://schemas.openxmlformats.org/officeDocument/2006/relationships/hyperlink" Target="https://optovikufa.ru/product/220868/derzhatel-mobilnogo-telefona-dream-g158-magnitnyy/" TargetMode="External"/><Relationship Id="rId_hyperlink_368" Type="http://schemas.openxmlformats.org/officeDocument/2006/relationships/hyperlink" Target="https://optovikufa.ru/product/221764/derzhatel-mobilnogo-telefona-dream-g160-magnitnyy/" TargetMode="External"/><Relationship Id="rId_hyperlink_369" Type="http://schemas.openxmlformats.org/officeDocument/2006/relationships/hyperlink" Target="https://optovikufa.ru/product/221157/derzhatel-mobilnogo-telefona-dream-jhd307/" TargetMode="External"/><Relationship Id="rId_hyperlink_370" Type="http://schemas.openxmlformats.org/officeDocument/2006/relationships/hyperlink" Target="https://optovikufa.ru/product/230818/derzhatel-mobilnogo-telefona-dream-jhd52-belyy-magnitnyy/" TargetMode="External"/><Relationship Id="rId_hyperlink_371" Type="http://schemas.openxmlformats.org/officeDocument/2006/relationships/hyperlink" Target="https://optovikufa.ru/product/242549/derzhatel-mobilnogo-telefona-dream-jhd52-chernyy-magnitnyy/" TargetMode="External"/><Relationship Id="rId_hyperlink_372" Type="http://schemas.openxmlformats.org/officeDocument/2006/relationships/hyperlink" Target="https://optovikufa.ru/product/230462/derzhatel-mobilnogo-telefona-dream-kt-334-magnitnyy/" TargetMode="External"/><Relationship Id="rId_hyperlink_373" Type="http://schemas.openxmlformats.org/officeDocument/2006/relationships/hyperlink" Target="https://optovikufa.ru/product/232663/derzhatel-mobilnogo-telefona-dream-kt216-magnitnyy/" TargetMode="External"/><Relationship Id="rId_hyperlink_374" Type="http://schemas.openxmlformats.org/officeDocument/2006/relationships/hyperlink" Target="https://optovikufa.ru/product/224894/derzhatel-mobilnogo-telefona-dream-l103/" TargetMode="External"/><Relationship Id="rId_hyperlink_375" Type="http://schemas.openxmlformats.org/officeDocument/2006/relationships/hyperlink" Target="https://optovikufa.ru/product/224896/derzhatel-mobilnogo-telefona-dream-mg30-magnitnyy/" TargetMode="External"/><Relationship Id="rId_hyperlink_376" Type="http://schemas.openxmlformats.org/officeDocument/2006/relationships/hyperlink" Target="https://optovikufa.ru/product/217286/derzhatel-mobilnogo-telefona-dream-mm14-magnitnyy/" TargetMode="External"/><Relationship Id="rId_hyperlink_377" Type="http://schemas.openxmlformats.org/officeDocument/2006/relationships/hyperlink" Target="https://optovikufa.ru/product/218635/derzhatel-mobilnogo-telefona-dream-mm6-magnitnyy/" TargetMode="External"/><Relationship Id="rId_hyperlink_378" Type="http://schemas.openxmlformats.org/officeDocument/2006/relationships/hyperlink" Target="https://optovikufa.ru/product/222800/derzhatel-mobilnogo-telefona-dream-rd03-magnitnyy/" TargetMode="External"/><Relationship Id="rId_hyperlink_379" Type="http://schemas.openxmlformats.org/officeDocument/2006/relationships/hyperlink" Target="https://optovikufa.ru/product/223608/derzhatel-mobilnogo-telefona-dream-rd13-magnitnyy/" TargetMode="External"/><Relationship Id="rId_hyperlink_380" Type="http://schemas.openxmlformats.org/officeDocument/2006/relationships/hyperlink" Target="https://optovikufa.ru/product/230467/derzhatel-mobilnogo-telefona-dream-xp-344-magnitnyy/" TargetMode="External"/><Relationship Id="rId_hyperlink_381" Type="http://schemas.openxmlformats.org/officeDocument/2006/relationships/hyperlink" Target="https://optovikufa.ru/product/230468/derzhatel-mobilnogo-telefona-dream-xp-345-magnitnyy/" TargetMode="External"/><Relationship Id="rId_hyperlink_382" Type="http://schemas.openxmlformats.org/officeDocument/2006/relationships/hyperlink" Target="https://optovikufa.ru/product/230816/derzhatel-mobilnogo-telefona-dream-xp701-magnitnyy/" TargetMode="External"/><Relationship Id="rId_hyperlink_383" Type="http://schemas.openxmlformats.org/officeDocument/2006/relationships/hyperlink" Target="https://optovikufa.ru/product/230820/derzhatel-mobilnogo-telefona-dream-xp703-magnitnyy/" TargetMode="External"/><Relationship Id="rId_hyperlink_384" Type="http://schemas.openxmlformats.org/officeDocument/2006/relationships/hyperlink" Target="https://optovikufa.ru/product/231213/derzhatel-mobilnogo-telefona-dream-xp704-magnitnyy/" TargetMode="External"/><Relationship Id="rId_hyperlink_385" Type="http://schemas.openxmlformats.org/officeDocument/2006/relationships/hyperlink" Target="https://optovikufa.ru/product/230821/derzhatel-mobilnogo-telefona-dream-xp705-magnitnyy/" TargetMode="External"/><Relationship Id="rId_hyperlink_386" Type="http://schemas.openxmlformats.org/officeDocument/2006/relationships/hyperlink" Target="https://optovikufa.ru/product/230822/derzhatel-mobilnogo-telefona-dream-xp706-magnitnyy/" TargetMode="External"/><Relationship Id="rId_hyperlink_387" Type="http://schemas.openxmlformats.org/officeDocument/2006/relationships/hyperlink" Target="https://optovikufa.ru/product/230817/derzhatel-mobilnogo-telefona-dream-xp707-magnitnyy/" TargetMode="External"/><Relationship Id="rId_hyperlink_388" Type="http://schemas.openxmlformats.org/officeDocument/2006/relationships/hyperlink" Target="https://optovikufa.ru/product/234692/derzhatel-mobilnogo-telefona-exployd-ex-h-719-serebro/" TargetMode="External"/><Relationship Id="rId_hyperlink_389" Type="http://schemas.openxmlformats.org/officeDocument/2006/relationships/hyperlink" Target="https://optovikufa.ru/product/241426/derzhatel-mobilnogo-telefona-hoco-ca102-na-vohduhovod-magnitnyy-chernyy/" TargetMode="External"/><Relationship Id="rId_hyperlink_390" Type="http://schemas.openxmlformats.org/officeDocument/2006/relationships/hyperlink" Target="https://optovikufa.ru/product/239329/derzhatel-mobilnogo-telefona-hoco-ca116-chernyy/" TargetMode="External"/><Relationship Id="rId_hyperlink_391" Type="http://schemas.openxmlformats.org/officeDocument/2006/relationships/hyperlink" Target="https://optovikufa.ru/product/221818/derzhatel-mobilnogo-telefona-hoco-ca36-plus-magnitnyy-serebro/" TargetMode="External"/><Relationship Id="rId_hyperlink_392" Type="http://schemas.openxmlformats.org/officeDocument/2006/relationships/hyperlink" Target="https://optovikufa.ru/product/217262/derzhatel-mobilnogo-telefona-hoco-ca37-molotok-nozh-chernyy/" TargetMode="External"/><Relationship Id="rId_hyperlink_393" Type="http://schemas.openxmlformats.org/officeDocument/2006/relationships/hyperlink" Target="https://optovikufa.ru/product/220192/derzhatel-mobilnogo-telefona-hoco-ca46-serebro/" TargetMode="External"/><Relationship Id="rId_hyperlink_394" Type="http://schemas.openxmlformats.org/officeDocument/2006/relationships/hyperlink" Target="https://optovikufa.ru/product/219001/derzhatel-mobilnogo-telefona-hoco-ca46-chernyy/" TargetMode="External"/><Relationship Id="rId_hyperlink_395" Type="http://schemas.openxmlformats.org/officeDocument/2006/relationships/hyperlink" Target="https://optovikufa.ru/product/219002/derzhatel-mobilnogo-telefona-hoco-ca47-chernyy/" TargetMode="External"/><Relationship Id="rId_hyperlink_396" Type="http://schemas.openxmlformats.org/officeDocument/2006/relationships/hyperlink" Target="https://optovikufa.ru/product/220336/derzhatel-mobilnogo-telefona-hoco-ca52-magnitnyy/" TargetMode="External"/><Relationship Id="rId_hyperlink_397" Type="http://schemas.openxmlformats.org/officeDocument/2006/relationships/hyperlink" Target="https://optovikufa.ru/product/224455/derzhatel-mobilnogo-telefona-hoco-ca65-magnitnyy-chernyy/" TargetMode="External"/><Relationship Id="rId_hyperlink_398" Type="http://schemas.openxmlformats.org/officeDocument/2006/relationships/hyperlink" Target="https://optovikufa.ru/product/229421/derzhatel-mobilnogo-telefona-hoco-ca66-magnitnyy-chernyy/" TargetMode="External"/><Relationship Id="rId_hyperlink_399" Type="http://schemas.openxmlformats.org/officeDocument/2006/relationships/hyperlink" Target="https://optovikufa.ru/product/224456/derzhatel-mobilnogo-telefona-hoco-ca67-magnitnyy-chernyy/" TargetMode="External"/><Relationship Id="rId_hyperlink_400" Type="http://schemas.openxmlformats.org/officeDocument/2006/relationships/hyperlink" Target="https://optovikufa.ru/product/231622/derzhatel-mobilnogo-telefona-hoco-ca74-magnitnyy-chernyy-serebro/" TargetMode="External"/><Relationship Id="rId_hyperlink_401" Type="http://schemas.openxmlformats.org/officeDocument/2006/relationships/hyperlink" Target="https://optovikufa.ru/product/235457/derzhatel-mobilnogo-telefona-hoco-ca81-chernyy/" TargetMode="External"/><Relationship Id="rId_hyperlink_402" Type="http://schemas.openxmlformats.org/officeDocument/2006/relationships/hyperlink" Target="https://optovikufa.ru/product/242578/derzhatel-mobilnogo-telefona-hoco-h1-fioletovyy/" TargetMode="External"/><Relationship Id="rId_hyperlink_403" Type="http://schemas.openxmlformats.org/officeDocument/2006/relationships/hyperlink" Target="https://optovikufa.ru/product/241427/derzhatel-mobilnogo-telefona-hoco-h10-prisoska-chernyy/" TargetMode="External"/><Relationship Id="rId_hyperlink_404" Type="http://schemas.openxmlformats.org/officeDocument/2006/relationships/hyperlink" Target="https://optovikufa.ru/product/241429/derzhatel-mobilnogo-telefona-hoco-h16-magnit-chernyy/" TargetMode="External"/><Relationship Id="rId_hyperlink_405" Type="http://schemas.openxmlformats.org/officeDocument/2006/relationships/hyperlink" Target="https://optovikufa.ru/product/239332/derzhatel-mobilnogo-telefona-hoco-h2-biryuzovyy/" TargetMode="External"/><Relationship Id="rId_hyperlink_406" Type="http://schemas.openxmlformats.org/officeDocument/2006/relationships/hyperlink" Target="https://optovikufa.ru/product/241430/derzhatel-mobilnogo-telefona-hoco-h5-chernyy/" TargetMode="External"/><Relationship Id="rId_hyperlink_407" Type="http://schemas.openxmlformats.org/officeDocument/2006/relationships/hyperlink" Target="https://optovikufa.ru/product/234689/derzhatel-mobilnogo-telefona-hoco-s49-magnitnyy-na-torpedu/" TargetMode="External"/><Relationship Id="rId_hyperlink_408" Type="http://schemas.openxmlformats.org/officeDocument/2006/relationships/hyperlink" Target="https://optovikufa.ru/product/217299/nabor-plastin-dlya-magnitnyh-derzhateley-dream-cp2/" TargetMode="External"/><Relationship Id="rId_hyperlink_409" Type="http://schemas.openxmlformats.org/officeDocument/2006/relationships/hyperlink" Target="https://optovikufa.ru/product/233332/nabor-plastin-dlya-magnitnyh-derzhateley-mf-2-v-1/" TargetMode="External"/><Relationship Id="rId_hyperlink_410" Type="http://schemas.openxmlformats.org/officeDocument/2006/relationships/hyperlink" Target="https://optovikufa.ru/product/242465/derzhatel-mobilnogo-telefona-sx58/" TargetMode="External"/><Relationship Id="rId_hyperlink_411" Type="http://schemas.openxmlformats.org/officeDocument/2006/relationships/hyperlink" Target="https://optovikufa.ru/product/123296/derzhatel-mobilnogo-telefona-avs-ah-2081-xp/" TargetMode="External"/><Relationship Id="rId_hyperlink_412" Type="http://schemas.openxmlformats.org/officeDocument/2006/relationships/hyperlink" Target="https://optovikufa.ru/product/135529/derzhatel-mobilnogo-telefona-avs-ah-2081-hr-v-blistere/" TargetMode="External"/><Relationship Id="rId_hyperlink_413" Type="http://schemas.openxmlformats.org/officeDocument/2006/relationships/hyperlink" Target="https://optovikufa.ru/product/141700/derzhatel-mobilnogo-telefona-avs-ah-2107-d/" TargetMode="External"/><Relationship Id="rId_hyperlink_414" Type="http://schemas.openxmlformats.org/officeDocument/2006/relationships/hyperlink" Target="https://optovikufa.ru/product/131921/derzhatel-mobilnogo-telefona-avs-ah-2116-d/" TargetMode="External"/><Relationship Id="rId_hyperlink_415" Type="http://schemas.openxmlformats.org/officeDocument/2006/relationships/hyperlink" Target="https://optovikufa.ru/product/234685/derzhatel-mobilnogo-telefona-borofone-bh18-magnitnyy-chernyy/" TargetMode="External"/><Relationship Id="rId_hyperlink_416" Type="http://schemas.openxmlformats.org/officeDocument/2006/relationships/hyperlink" Target="https://optovikufa.ru/product/232723/derzhatel-mobilnogo-telefona-borofone-bh54-racer-plastik-torpedo-sharnir-dvoynoy-zazhim-chernyy/" TargetMode="External"/><Relationship Id="rId_hyperlink_417" Type="http://schemas.openxmlformats.org/officeDocument/2006/relationships/hyperlink" Target="https://optovikufa.ru/product/242553/derzhatel-mobilnogo-telefona-dream-ch118-magnitnyy/" TargetMode="External"/><Relationship Id="rId_hyperlink_418" Type="http://schemas.openxmlformats.org/officeDocument/2006/relationships/hyperlink" Target="https://optovikufa.ru/product/243117/derzhatel-mobilnogo-telefona-hoco-ca99-chernyy/" TargetMode="External"/><Relationship Id="rId_hyperlink_419" Type="http://schemas.openxmlformats.org/officeDocument/2006/relationships/hyperlink" Target="https://optovikufa.ru/product/242464/derzhatel-mobilnogo-telefona-na-gibkom-kreplenii-sx62/" TargetMode="External"/><Relationship Id="rId_hyperlink_420" Type="http://schemas.openxmlformats.org/officeDocument/2006/relationships/hyperlink" Target="https://optovikufa.ru/product/234431/derzhatel-avtomobilnyy-borofone-bh60-plastik-torpedo-lobovoe-steklo-dvoynoy-zazhim-dlya-telefona-45-7-chernyy/" TargetMode="External"/><Relationship Id="rId_hyperlink_421" Type="http://schemas.openxmlformats.org/officeDocument/2006/relationships/hyperlink" Target="https://optovikufa.ru/product/152140/derzhatel-dlya-smartfona-orbita-t-102000/" TargetMode="External"/><Relationship Id="rId_hyperlink_422" Type="http://schemas.openxmlformats.org/officeDocument/2006/relationships/hyperlink" Target="https://optovikufa.ru/product/176873/derzhatel-mobilnogo-telefona-av-059/" TargetMode="External"/><Relationship Id="rId_hyperlink_423" Type="http://schemas.openxmlformats.org/officeDocument/2006/relationships/hyperlink" Target="https://optovikufa.ru/product/146127/derzhatel-mobilnogo-telefona-avs-ah-1704/" TargetMode="External"/><Relationship Id="rId_hyperlink_424" Type="http://schemas.openxmlformats.org/officeDocument/2006/relationships/hyperlink" Target="https://optovikufa.ru/product/222307/derzhatel-mobilnogo-telefona-avs-ah-1901/" TargetMode="External"/><Relationship Id="rId_hyperlink_425" Type="http://schemas.openxmlformats.org/officeDocument/2006/relationships/hyperlink" Target="https://optovikufa.ru/product/175158/derzhatel-mobilnogo-telefona-avs-ah-2224-bl-prischepka/" TargetMode="External"/><Relationship Id="rId_hyperlink_426" Type="http://schemas.openxmlformats.org/officeDocument/2006/relationships/hyperlink" Target="https://optovikufa.ru/product/148885/derzhatel-mobilnogo-telefona-avs-ah-2227bl-dvoynaya-prischepka-v-blistere/" TargetMode="External"/><Relationship Id="rId_hyperlink_427" Type="http://schemas.openxmlformats.org/officeDocument/2006/relationships/hyperlink" Target="https://optovikufa.ru/product/175157/derzhatel-mobilnogo-telefona-avs-ah-4955/" TargetMode="External"/><Relationship Id="rId_hyperlink_428" Type="http://schemas.openxmlformats.org/officeDocument/2006/relationships/hyperlink" Target="https://optovikufa.ru/product/242588/derzhatel-mobilnogo-telefona-borofone-bh38-chernyy/" TargetMode="External"/><Relationship Id="rId_hyperlink_429" Type="http://schemas.openxmlformats.org/officeDocument/2006/relationships/hyperlink" Target="https://optovikufa.ru/product/243112/derzhatel-mobilnogo-telefona-borofone-bh55/" TargetMode="External"/><Relationship Id="rId_hyperlink_430" Type="http://schemas.openxmlformats.org/officeDocument/2006/relationships/hyperlink" Target="https://optovikufa.ru/product/235054/derzhatel-mobilnogo-telefona-borofone-bh61-chernyy/" TargetMode="External"/><Relationship Id="rId_hyperlink_431" Type="http://schemas.openxmlformats.org/officeDocument/2006/relationships/hyperlink" Target="https://optovikufa.ru/product/240753/derzhatel-mobilnogo-telefona-borofone-bh82-magnitnyy-chernyygoluboy/" TargetMode="External"/><Relationship Id="rId_hyperlink_432" Type="http://schemas.openxmlformats.org/officeDocument/2006/relationships/hyperlink" Target="https://optovikufa.ru/product/240757/derzhatel-mobilnogo-telefona-borofone-bh85-magnitnyy-chernyy/" TargetMode="External"/><Relationship Id="rId_hyperlink_433" Type="http://schemas.openxmlformats.org/officeDocument/2006/relationships/hyperlink" Target="https://optovikufa.ru/product/236846/derzhatel-mobilnogo-telefona-carlive-sx47/" TargetMode="External"/><Relationship Id="rId_hyperlink_434" Type="http://schemas.openxmlformats.org/officeDocument/2006/relationships/hyperlink" Target="https://optovikufa.ru/product/239796/derzhatel-mobilnogo-telefona-carlive-sx67/" TargetMode="External"/><Relationship Id="rId_hyperlink_435" Type="http://schemas.openxmlformats.org/officeDocument/2006/relationships/hyperlink" Target="https://optovikufa.ru/product/239797/derzhatel-mobilnogo-telefona-carlive-sx69/" TargetMode="External"/><Relationship Id="rId_hyperlink_436" Type="http://schemas.openxmlformats.org/officeDocument/2006/relationships/hyperlink" Target="https://optovikufa.ru/product/242548/derzhatel-mobilnogo-telefona-ch114/" TargetMode="External"/><Relationship Id="rId_hyperlink_437" Type="http://schemas.openxmlformats.org/officeDocument/2006/relationships/hyperlink" Target="https://optovikufa.ru/product/235651/derzhatel-mobilnogo-telefona-defender-ch-226/" TargetMode="External"/><Relationship Id="rId_hyperlink_438" Type="http://schemas.openxmlformats.org/officeDocument/2006/relationships/hyperlink" Target="https://optovikufa.ru/product/230815/derzhatel-mobilnogo-telefona-dream-xp293/" TargetMode="External"/><Relationship Id="rId_hyperlink_439" Type="http://schemas.openxmlformats.org/officeDocument/2006/relationships/hyperlink" Target="https://optovikufa.ru/product/234776/derzhatel-mobilnogo-telefona-dream-xp702/" TargetMode="External"/><Relationship Id="rId_hyperlink_440" Type="http://schemas.openxmlformats.org/officeDocument/2006/relationships/hyperlink" Target="https://optovikufa.ru/product/242816/derzhatel-mobilnogo-telefona-hoco-ca108-na-vohduhovod-steklo-torpedu-magnitnyy-chernyy/" TargetMode="External"/><Relationship Id="rId_hyperlink_441" Type="http://schemas.openxmlformats.org/officeDocument/2006/relationships/hyperlink" Target="https://optovikufa.ru/product/243120/derzhatel-mobilnogo-telefona-hoco-ca117-chernyy/" TargetMode="External"/><Relationship Id="rId_hyperlink_442" Type="http://schemas.openxmlformats.org/officeDocument/2006/relationships/hyperlink" Target="https://optovikufa.ru/product/240080/derzhatel-mobilnogo-telefona-hoco-ca120-chernyy/" TargetMode="External"/><Relationship Id="rId_hyperlink_443" Type="http://schemas.openxmlformats.org/officeDocument/2006/relationships/hyperlink" Target="https://optovikufa.ru/product/231212/derzhatel-mobilnogo-telefona-hoco-ca26-chernyy/" TargetMode="External"/><Relationship Id="rId_hyperlink_444" Type="http://schemas.openxmlformats.org/officeDocument/2006/relationships/hyperlink" Target="https://optovikufa.ru/product/220097/derzhatel-mobilnogo-telefona-hoco-ca31-chernyy/" TargetMode="External"/><Relationship Id="rId_hyperlink_445" Type="http://schemas.openxmlformats.org/officeDocument/2006/relationships/hyperlink" Target="https://optovikufa.ru/product/217266/derzhatel-mobilnogo-telefona-hoco-ca40-chernyy/" TargetMode="External"/><Relationship Id="rId_hyperlink_446" Type="http://schemas.openxmlformats.org/officeDocument/2006/relationships/hyperlink" Target="https://optovikufa.ru/product/228690/derzhatel-mobilnogo-telefona-hoco-ca51-chernyy/" TargetMode="External"/><Relationship Id="rId_hyperlink_447" Type="http://schemas.openxmlformats.org/officeDocument/2006/relationships/hyperlink" Target="https://optovikufa.ru/product/241881/derzhatel-mobilnogo-telefona-hoco-ca76-chernyy/" TargetMode="External"/><Relationship Id="rId_hyperlink_448" Type="http://schemas.openxmlformats.org/officeDocument/2006/relationships/hyperlink" Target="https://optovikufa.ru/product/241882/derzhatel-mobilnogo-telefona-hoco-ca95-chernyy/" TargetMode="External"/><Relationship Id="rId_hyperlink_449" Type="http://schemas.openxmlformats.org/officeDocument/2006/relationships/hyperlink" Target="https://optovikufa.ru/product/239335/derzhatel-mobilnogo-telefona-hoco-h3-chernyy/" TargetMode="External"/><Relationship Id="rId_hyperlink_450" Type="http://schemas.openxmlformats.org/officeDocument/2006/relationships/hyperlink" Target="https://optovikufa.ru/product/236845/derzhatel-mobilnogo-telefona-mr-x1-na-zhestkom-kreplenii-krasnyy/" TargetMode="External"/><Relationship Id="rId_hyperlink_451" Type="http://schemas.openxmlformats.org/officeDocument/2006/relationships/hyperlink" Target="https://optovikufa.ru/product/243118/derzhatel-mobilnogo-telefona-s-besprovodnoy-zaryadkoy-hoco-ca60-chernyy/" TargetMode="External"/><Relationship Id="rId_hyperlink_452" Type="http://schemas.openxmlformats.org/officeDocument/2006/relationships/hyperlink" Target="https://optovikufa.ru/product/243119/derzhatel-mobilnogo-telefona-s-besprovodnoy-zaryadkoy-hoco-hw3-chernyy/" TargetMode="External"/><Relationship Id="rId_hyperlink_453" Type="http://schemas.openxmlformats.org/officeDocument/2006/relationships/hyperlink" Target="https://optovikufa.ru/product/236827/derzhatel-plansheta-universalnyy-zyz-139-na-zhestkom-kreplenii/" TargetMode="External"/><Relationship Id="rId_hyperlink_454" Type="http://schemas.openxmlformats.org/officeDocument/2006/relationships/hyperlink" Target="https://optovikufa.ru/product/238881/nakidka-na-sidene-s-podogrevom-velyur-chernaya/" TargetMode="External"/><Relationship Id="rId_hyperlink_455" Type="http://schemas.openxmlformats.org/officeDocument/2006/relationships/hyperlink" Target="https://optovikufa.ru/product/123787/nakidka-na-sidene-s-funkciey-obogreva-avs-hc-167/" TargetMode="External"/><Relationship Id="rId_hyperlink_456" Type="http://schemas.openxmlformats.org/officeDocument/2006/relationships/hyperlink" Target="https://optovikufa.ru/product/177887/nakidka-na-sidene-s-funkciey-obogreva-avs-hc-180/" TargetMode="External"/><Relationship Id="rId_hyperlink_457" Type="http://schemas.openxmlformats.org/officeDocument/2006/relationships/hyperlink" Target="https://optovikufa.ru/product/238902/organayzer-zaschita-na-spinu-sidenya-stvol-srg01-s-karmanom/" TargetMode="External"/><Relationship Id="rId_hyperlink_458" Type="http://schemas.openxmlformats.org/officeDocument/2006/relationships/hyperlink" Target="https://optovikufa.ru/product/232667/podstavka-dlya-telefona-i-plansheta-8smh4sm/" TargetMode="External"/><Relationship Id="rId_hyperlink_459" Type="http://schemas.openxmlformats.org/officeDocument/2006/relationships/hyperlink" Target="https://optovikufa.ru/product/231765/protivoskolzyaschiy-kovrik-podstavka-dream-sn3-chernyy/" TargetMode="External"/><Relationship Id="rId_hyperlink_460" Type="http://schemas.openxmlformats.org/officeDocument/2006/relationships/hyperlink" Target="https://optovikufa.ru/product/123295/protivoskolzyaschiy-kovrik-na-pribornuyu-panel-avs-113a-1922sm/" TargetMode="External"/><Relationship Id="rId_hyperlink_461" Type="http://schemas.openxmlformats.org/officeDocument/2006/relationships/hyperlink" Target="https://optovikufa.ru/product/130831/protivoskolzyaschiy-kovrik-na-pribornuyu-panel-avs-114l-5629sm/" TargetMode="External"/><Relationship Id="rId_hyperlink_462" Type="http://schemas.openxmlformats.org/officeDocument/2006/relationships/hyperlink" Target="https://optovikufa.ru/product/132709/protivoskolzyaschiy-kovrik-na-pribornuyu-panel-avs-nano-np-002-159sm-chernyy/" TargetMode="External"/><Relationship Id="rId_hyperlink_463" Type="http://schemas.openxmlformats.org/officeDocument/2006/relationships/hyperlink" Target="https://optovikufa.ru/product/132711/protivoskolzyaschiy-kovrik-na-pribornuyu-panel-avs-nano-np-008-14585sm/" TargetMode="External"/><Relationship Id="rId_hyperlink_464" Type="http://schemas.openxmlformats.org/officeDocument/2006/relationships/hyperlink" Target="https://optovikufa.ru/product/132712/protivoskolzyaschiy-kovrik-na-pribornuyu-panel-avs-nano-np-009-148sm/" TargetMode="External"/><Relationship Id="rId_hyperlink_465" Type="http://schemas.openxmlformats.org/officeDocument/2006/relationships/hyperlink" Target="https://optovikufa.ru/product/132714/protivoskolzyaschiy-kovrik-na-pribornuyu-panel-avs-nano-np-018-145185sm/" TargetMode="External"/><Relationship Id="rId_hyperlink_466" Type="http://schemas.openxmlformats.org/officeDocument/2006/relationships/hyperlink" Target="https://optovikufa.ru/product/238790/nabor-dlya-remonta-bezkamernyh-shin-s-kleem-8-predmetov-na-blistere-siniy/" TargetMode="External"/><Relationship Id="rId_hyperlink_467" Type="http://schemas.openxmlformats.org/officeDocument/2006/relationships/hyperlink" Target="https://optovikufa.ru/product/178693/tros-buksirovochnyy-35t-45m-kanat-2-kryuka-paket-a-tol-trpl039/" TargetMode="External"/><Relationship Id="rId_hyperlink_468" Type="http://schemas.openxmlformats.org/officeDocument/2006/relationships/hyperlink" Target="https://optovikufa.ru/product/240846/tros-buksirovochnyy-35t-45m-petli-sumka-na-molnii-a-tol/" TargetMode="External"/><Relationship Id="rId_hyperlink_469" Type="http://schemas.openxmlformats.org/officeDocument/2006/relationships/hyperlink" Target="https://optovikufa.ru/product/124471/tros-buksirovochnyy-3t-zheltyy/" TargetMode="External"/><Relationship Id="rId_hyperlink_470" Type="http://schemas.openxmlformats.org/officeDocument/2006/relationships/hyperlink" Target="https://optovikufa.ru/product/153703/tros-buksirovochnyy-5t-45m-kanat-2-kryuka-paket-a-tol-trv002/" TargetMode="External"/><Relationship Id="rId_hyperlink_471" Type="http://schemas.openxmlformats.org/officeDocument/2006/relationships/hyperlink" Target="https://optovikufa.ru/product/240842/tros-buksirovochnyy-5t-45m-kanat-pletenyy-2-kryuka-sumka-na-molnii-a-tol/" TargetMode="External"/><Relationship Id="rId_hyperlink_472" Type="http://schemas.openxmlformats.org/officeDocument/2006/relationships/hyperlink" Target="https://optovikufa.ru/product/240847/tros-buksirovochnyy-6t-45m-petli-paket-a-tol/" TargetMode="External"/><Relationship Id="rId_hyperlink_473" Type="http://schemas.openxmlformats.org/officeDocument/2006/relationships/hyperlink" Target="https://optovikufa.ru/product/242572/tros-buksirovochnyy-7t-45m-2-kryuka-sumka-na-molnii-a-tol/" TargetMode="External"/><Relationship Id="rId_hyperlink_474" Type="http://schemas.openxmlformats.org/officeDocument/2006/relationships/hyperlink" Target="https://optovikufa.ru/product/222962/tros-buksirovochnyy-7t-45m-kanat-2-kryuka-paket-a-tol-trpl041/" TargetMode="External"/><Relationship Id="rId_hyperlink_475" Type="http://schemas.openxmlformats.org/officeDocument/2006/relationships/hyperlink" Target="https://optovikufa.ru/product/240843/tros-buksirovochnyy-7t-45m-kanat-pletenyy-2-kryuka-sumka-na-molnii-a-tol/" TargetMode="External"/><Relationship Id="rId_hyperlink_476" Type="http://schemas.openxmlformats.org/officeDocument/2006/relationships/hyperlink" Target="https://optovikufa.ru/product/241968/tros-buksirovochnyy-2000kg-4m6mm-emergency-tow-rope/" TargetMode="External"/><Relationship Id="rId_hyperlink_477" Type="http://schemas.openxmlformats.org/officeDocument/2006/relationships/hyperlink" Target="https://optovikufa.ru/product/241969/tros-buksirovochnyy-3000kg-4m8mm-emergency-tow-rope/" TargetMode="External"/><Relationship Id="rId_hyperlink_478" Type="http://schemas.openxmlformats.org/officeDocument/2006/relationships/hyperlink" Target="https://optovikufa.ru/product/242063/tros-buksirovochnyy-5000kg-4m10mm-emergency-tow-rope/" TargetMode="External"/><Relationship Id="rId_hyperlink_479" Type="http://schemas.openxmlformats.org/officeDocument/2006/relationships/hyperlink" Target="https://optovikufa.ru/product/217593/tros-buksirovochnyy-8t-5m-siniy/" TargetMode="External"/><Relationship Id="rId_hyperlink_480" Type="http://schemas.openxmlformats.org/officeDocument/2006/relationships/hyperlink" Target="https://optovikufa.ru/product/147919/lampa-galogennaya-osram-h1-12-55-germaniya/" TargetMode="External"/><Relationship Id="rId_hyperlink_481" Type="http://schemas.openxmlformats.org/officeDocument/2006/relationships/hyperlink" Target="https://optovikufa.ru/product/147920/lampa-galogennaya-osram-h1-12-5530-allseason-super-vsepogodnyy-germaniya/" TargetMode="External"/><Relationship Id="rId_hyperlink_482" Type="http://schemas.openxmlformats.org/officeDocument/2006/relationships/hyperlink" Target="https://optovikufa.ru/product/147916/lampa-galogennaya-osram-h4-12-6055-germaniya-64193/" TargetMode="External"/><Relationship Id="rId_hyperlink_483" Type="http://schemas.openxmlformats.org/officeDocument/2006/relationships/hyperlink" Target="https://optovikufa.ru/product/144523/lampa-galogennaya-osram-h4-12-6055100-cool-blue-intense-next/" TargetMode="External"/><Relationship Id="rId_hyperlink_484" Type="http://schemas.openxmlformats.org/officeDocument/2006/relationships/hyperlink" Target="https://optovikufa.ru/product/147912/lampa-galogennaya-osram-h4-12-605530-allseason-super-vsepogodnyy-germaniya-64193als/" TargetMode="External"/><Relationship Id="rId_hyperlink_485" Type="http://schemas.openxmlformats.org/officeDocument/2006/relationships/hyperlink" Target="https://optovikufa.ru/product/166716/lampa-galogennaya-osram-h7-12-55-ultra-life-3-h-kratnyy-resurs-2sht-evro-boks-61210ult2/" TargetMode="External"/><Relationship Id="rId_hyperlink_486" Type="http://schemas.openxmlformats.org/officeDocument/2006/relationships/hyperlink" Target="https://optovikufa.ru/product/178584/lampa-galogennaya-mayak-h1-12v-55w/" TargetMode="External"/><Relationship Id="rId_hyperlink_487" Type="http://schemas.openxmlformats.org/officeDocument/2006/relationships/hyperlink" Target="https://optovikufa.ru/product/178583/lampa-galogennaya-mayak-h3-12v-55w-yarko-belaya/" TargetMode="External"/><Relationship Id="rId_hyperlink_488" Type="http://schemas.openxmlformats.org/officeDocument/2006/relationships/hyperlink" Target="https://optovikufa.ru/product/164526/lampa-galogennaya-mayak-h7-12v-55w/" TargetMode="External"/><Relationship Id="rId_hyperlink_489" Type="http://schemas.openxmlformats.org/officeDocument/2006/relationships/hyperlink" Target="https://optovikufa.ru/product/164527/lampa-galogennaya-mayak-h7-12v-55w-yarko-belaya/" TargetMode="External"/><Relationship Id="rId_hyperlink_490" Type="http://schemas.openxmlformats.org/officeDocument/2006/relationships/hyperlink" Target="https://optovikufa.ru/product/164528/lampa-galogennaya-mayak-h7-12v-55w30-super-yarkaya/" TargetMode="External"/><Relationship Id="rId_hyperlink_491" Type="http://schemas.openxmlformats.org/officeDocument/2006/relationships/hyperlink" Target="https://optovikufa.ru/product/147576/blok-rozzhiga-omegalight-slim-1sht-9-16v35w/" TargetMode="External"/><Relationship Id="rId_hyperlink_492" Type="http://schemas.openxmlformats.org/officeDocument/2006/relationships/hyperlink" Target="https://optovikufa.ru/product/153926/lampa-nakalivaniya-mayak-12v-3w-21h95d-bez-cokolya-61203bc/" TargetMode="External"/><Relationship Id="rId_hyperlink_493" Type="http://schemas.openxmlformats.org/officeDocument/2006/relationships/hyperlink" Target="https://optovikufa.ru/product/242998/avtolampa-svetodiodnaya-c6-mini-n4-2led-dc-9-32v-6500k-s-kond-om-silver-energy-light-2sht/" TargetMode="External"/><Relationship Id="rId_hyperlink_494" Type="http://schemas.openxmlformats.org/officeDocument/2006/relationships/hyperlink" Target="https://optovikufa.ru/product/242648/avtolampa-svetodiodnaya-v6-h7-2led-dc-9-32v-6500k-s-vent-om-black-energy-light-2sht/" TargetMode="External"/><Relationship Id="rId_hyperlink_495" Type="http://schemas.openxmlformats.org/officeDocument/2006/relationships/hyperlink" Target="https://optovikufa.ru/product/164648/avtolampa-svetodiodnaya-e10-1led-inverted-zheltyy/" TargetMode="External"/><Relationship Id="rId_hyperlink_496" Type="http://schemas.openxmlformats.org/officeDocument/2006/relationships/hyperlink" Target="https://optovikufa.ru/product/227579/avtolampa-svetodiodnaya-t10-w21x95d-2smd-cob-silikon-belyy/" TargetMode="External"/><Relationship Id="rId_hyperlink_497" Type="http://schemas.openxmlformats.org/officeDocument/2006/relationships/hyperlink" Target="https://optovikufa.ru/product/239958/avtolampy-gabaritnye-x0008-12vo66vt-t10-w5w-10/" TargetMode="External"/><Relationship Id="rId_hyperlink_498" Type="http://schemas.openxmlformats.org/officeDocument/2006/relationships/hyperlink" Target="https://optovikufa.ru/product/239959/avtolampy-gabaritnye-x0018-12v-22vt-avtopolyarnost-soprotivlenie-t10-w5w-10/" TargetMode="External"/><Relationship Id="rId_hyperlink_499" Type="http://schemas.openxmlformats.org/officeDocument/2006/relationships/hyperlink" Target="https://optovikufa.ru/product/123731/svetodiodnaya-panel-avs-12smd-3528-krasnyy/" TargetMode="External"/><Relationship Id="rId_hyperlink_500" Type="http://schemas.openxmlformats.org/officeDocument/2006/relationships/hyperlink" Target="https://optovikufa.ru/product/231486/alkotester-garin-dat-2/" TargetMode="External"/><Relationship Id="rId_hyperlink_501" Type="http://schemas.openxmlformats.org/officeDocument/2006/relationships/hyperlink" Target="https://optovikufa.ru/product/233205/termometr-avtomobilnyy-analogovyy-30s60ss/" TargetMode="External"/><Relationship Id="rId_hyperlink_502" Type="http://schemas.openxmlformats.org/officeDocument/2006/relationships/hyperlink" Target="https://optovikufa.ru/product/135816/chasy-vst7009v-5-elektravto-temperatura-budilnik-voltmetr/" TargetMode="External"/><Relationship Id="rId_hyperlink_503" Type="http://schemas.openxmlformats.org/officeDocument/2006/relationships/hyperlink" Target="https://optovikufa.ru/product/146299/chasy-vst7013v-elektravto-temperatura-budilnik-voltmetr/" TargetMode="External"/><Relationship Id="rId_hyperlink_504" Type="http://schemas.openxmlformats.org/officeDocument/2006/relationships/hyperlink" Target="https://optovikufa.ru/product/239595/chasy-avtomobilnye-ot-clc01-temperatura/" TargetMode="External"/><Relationship Id="rId_hyperlink_505" Type="http://schemas.openxmlformats.org/officeDocument/2006/relationships/hyperlink" Target="https://optovikufa.ru/product/239596/chasy-avtomobilnye-ot-clc03-belye/" TargetMode="External"/><Relationship Id="rId_hyperlink_506" Type="http://schemas.openxmlformats.org/officeDocument/2006/relationships/hyperlink" Target="https://optovikufa.ru/product/239598/chasy-avtomobilnye-vreznye-zelenye/" TargetMode="External"/><Relationship Id="rId_hyperlink_507" Type="http://schemas.openxmlformats.org/officeDocument/2006/relationships/hyperlink" Target="https://optovikufa.ru/product/239599/chasy-avtomobilnye-vreznye-krasnye/" TargetMode="External"/><Relationship Id="rId_hyperlink_508" Type="http://schemas.openxmlformats.org/officeDocument/2006/relationships/hyperlink" Target="https://optovikufa.ru/product/240559/diagnosticheskiy-avtoskaner-modul-obd-ts-caa67-obd2-v15-wi-fi/" TargetMode="External"/><Relationship Id="rId_hyperlink_509" Type="http://schemas.openxmlformats.org/officeDocument/2006/relationships/hyperlink" Target="https://optovikufa.ru/product/243280/voltmetr-v-prikurivatel-12-24v/" TargetMode="External"/><Relationship Id="rId_hyperlink_510" Type="http://schemas.openxmlformats.org/officeDocument/2006/relationships/hyperlink" Target="https://optovikufa.ru/product/171354/diagnosticheskiy-avtoskaner-modul-obd-hh-elm327-advanced-bluetooth-versiya-v15/" TargetMode="External"/><Relationship Id="rId_hyperlink_511" Type="http://schemas.openxmlformats.org/officeDocument/2006/relationships/hyperlink" Target="https://optovikufa.ru/product/238005/diagnosticheskiy-avtoskaner-modul-obd-ts-caa63-obd2-v15-wi-fi/" TargetMode="External"/><Relationship Id="rId_hyperlink_512" Type="http://schemas.openxmlformats.org/officeDocument/2006/relationships/hyperlink" Target="https://optovikufa.ru/product/238006/diagnosticheskiy-avtoskaner-modul-obd-ts-caa64-obd2-v15-wi-fi/" TargetMode="External"/><Relationship Id="rId_hyperlink_513" Type="http://schemas.openxmlformats.org/officeDocument/2006/relationships/hyperlink" Target="https://optovikufa.ru/product/241642/tester-avtomobilnyy-zvukovoy-signal-svetodiody-6v-12v-24b-dt-252/" TargetMode="External"/><Relationship Id="rId_hyperlink_514" Type="http://schemas.openxmlformats.org/officeDocument/2006/relationships/hyperlink" Target="https://optovikufa.ru/product/237782/tester-avtomobilnyy-indikatornaya-lampa-metall-6v-12v-24b-dt-250/" TargetMode="External"/><Relationship Id="rId_hyperlink_515" Type="http://schemas.openxmlformats.org/officeDocument/2006/relationships/hyperlink" Target="https://optovikufa.ru/product/167873/shnur-pitaniya-avto-microusb-orbita-av-1041-3m21aobd/" TargetMode="External"/><Relationship Id="rId_hyperlink_516" Type="http://schemas.openxmlformats.org/officeDocument/2006/relationships/hyperlink" Target="https://optovikufa.ru/product/227715/tolschinomer-yunombo-ynb-100/" TargetMode="External"/><Relationship Id="rId_hyperlink_517" Type="http://schemas.openxmlformats.org/officeDocument/2006/relationships/hyperlink" Target="https://optovikufa.ru/product/241398/svetilnik-perenosnoy-setevoy-5m-220v-60vt-e27-master/" TargetMode="External"/><Relationship Id="rId_hyperlink_518" Type="http://schemas.openxmlformats.org/officeDocument/2006/relationships/hyperlink" Target="https://optovikufa.ru/product/153749/svetilnik-perenosnoy-setevoy-5m-220v-60vt-e27-dzhett/" TargetMode="External"/><Relationship Id="rId_hyperlink_519" Type="http://schemas.openxmlformats.org/officeDocument/2006/relationships/hyperlink" Target="https://optovikufa.ru/product/241048/svetilnik-perenosnoy-setevoy-5m-220vt-cokol-e27-s-provodom-sbf-05-e27/" TargetMode="External"/><Relationship Id="rId_hyperlink_520" Type="http://schemas.openxmlformats.org/officeDocument/2006/relationships/hyperlink" Target="https://optovikufa.ru/product/241047/svetilnik-perenosnoy-setevoy-10m-220vt-cokol-e27-s-provodom-sbf-10-e27/" TargetMode="External"/><Relationship Id="rId_hyperlink_521" Type="http://schemas.openxmlformats.org/officeDocument/2006/relationships/hyperlink" Target="https://optovikufa.ru/product/153750/svetilnik-perenosnoy-setevoy-15m-220v-60vt-e27-dzhett/" TargetMode="External"/><Relationship Id="rId_hyperlink_522" Type="http://schemas.openxmlformats.org/officeDocument/2006/relationships/hyperlink" Target="https://optovikufa.ru/product/239928/dnevnye-hodovye-ogni-eagle-eye-orlinyy-glaz-18mm-led-cob-montazhnyy-paz-komplekt-2sht/" TargetMode="External"/><Relationship Id="rId_hyperlink_523" Type="http://schemas.openxmlformats.org/officeDocument/2006/relationships/hyperlink" Target="https://optovikufa.ru/product/239927/dnevnye-hodovye-ogni-eagle-eye-orlinyy-glaz-23mm-led-3smd-montazhnyy-paz-komplekt-2sht/" TargetMode="External"/><Relationship Id="rId_hyperlink_524" Type="http://schemas.openxmlformats.org/officeDocument/2006/relationships/hyperlink" Target="https://optovikufa.ru/product/239929/dnevnye-hodovye-ogni-eagle-eye-orlinyy-glaz-23mm-led-cob-komplekt-2sht/" TargetMode="External"/><Relationship Id="rId_hyperlink_525" Type="http://schemas.openxmlformats.org/officeDocument/2006/relationships/hyperlink" Target="https://optovikufa.ru/product/239930/dnevnye-hodovye-ogni-eagle-eye-orlinyy-glaz-23mm-led-cob-montazhnyy-paz-komplekt-2sht/" TargetMode="External"/><Relationship Id="rId_hyperlink_526" Type="http://schemas.openxmlformats.org/officeDocument/2006/relationships/hyperlink" Target="https://optovikufa.ru/product/221691/fara-svetodiodnaya-off-road-9led-27w-1224v-blizhniy-svet-wl-132f/" TargetMode="External"/><Relationship Id="rId_hyperlink_527" Type="http://schemas.openxmlformats.org/officeDocument/2006/relationships/hyperlink" Target="https://optovikufa.ru/product/231186/voltmetr-v-avto-vreznoy-12v-24v-kruglyy/" TargetMode="External"/><Relationship Id="rId_hyperlink_528" Type="http://schemas.openxmlformats.org/officeDocument/2006/relationships/hyperlink" Target="https://optovikufa.ru/product/231185/voltmetr-v-avto-vreznoy-12v-24v-kruglyy-krasnoe-svechenie-emav-03/" TargetMode="External"/><Relationship Id="rId_hyperlink_529" Type="http://schemas.openxmlformats.org/officeDocument/2006/relationships/hyperlink" Target="https://optovikufa.ru/product/242337/voltmetr-v-avto-vreznoy-12v-24v-kruglyy-sinee-svechenie-emav-04/" TargetMode="External"/><Relationship Id="rId_hyperlink_530" Type="http://schemas.openxmlformats.org/officeDocument/2006/relationships/hyperlink" Target="https://optovikufa.ru/product/233802/vstraivaemyy-avto-modul-s-usb-portom-2-h-usb-21a1a-kruglyy/" TargetMode="External"/><Relationship Id="rId_hyperlink_531" Type="http://schemas.openxmlformats.org/officeDocument/2006/relationships/hyperlink" Target="https://optovikufa.ru/product/230438/vstraivaemyy-avto-modul-s-usb-portom-2-h-usb-21a1a-voltmetr-kruglyy/" TargetMode="External"/><Relationship Id="rId_hyperlink_532" Type="http://schemas.openxmlformats.org/officeDocument/2006/relationships/hyperlink" Target="https://optovikufa.ru/product/230440/vstraivaemyy-avto-modul-s-usb-portom-2-h-usb-21a1a-voltmetr-kruglyy/" TargetMode="External"/><Relationship Id="rId_hyperlink_533" Type="http://schemas.openxmlformats.org/officeDocument/2006/relationships/hyperlink" Target="https://optovikufa.ru/product/227775/vstraivaemyy-avto-modul-s-usb-portom-2-h-usb-21a1a-kruglyy/" TargetMode="External"/><Relationship Id="rId_hyperlink_534" Type="http://schemas.openxmlformats.org/officeDocument/2006/relationships/hyperlink" Target="https://optovikufa.ru/product/239198/vstraivaemyy-avto-modul-s-usb-portom-usb-pd-voltmetr-pryamougolnyy/" TargetMode="External"/><Relationship Id="rId_hyperlink_535" Type="http://schemas.openxmlformats.org/officeDocument/2006/relationships/hyperlink" Target="https://optovikufa.ru/product/241476/vstraivaemyy-vyklyuchatel-tumbler-v-avto-12-24v-emav-012-zelenyy-indikator-5/" TargetMode="External"/><Relationship Id="rId_hyperlink_536" Type="http://schemas.openxmlformats.org/officeDocument/2006/relationships/hyperlink" Target="https://optovikufa.ru/product/238453/vstraivaemyy-vyklyuchatel-tumbler-v-avto-12-24v-emav-012-krasnyy-indikator-5/" TargetMode="External"/><Relationship Id="rId_hyperlink_537" Type="http://schemas.openxmlformats.org/officeDocument/2006/relationships/hyperlink" Target="https://optovikufa.ru/product/241477/vstraivaemyy-vyklyuchatel-tumbler-v-avto-12-24v-emav-012-siniy-indikator-5/" TargetMode="External"/><Relationship Id="rId_hyperlink_538" Type="http://schemas.openxmlformats.org/officeDocument/2006/relationships/hyperlink" Target="https://optovikufa.ru/product/238424/razem-usb-v-avto-vreznoy-2usb-42a-12v-24v-kruglyy/" TargetMode="External"/><Relationship Id="rId_hyperlink_539" Type="http://schemas.openxmlformats.org/officeDocument/2006/relationships/hyperlink" Target="https://optovikufa.ru/product/238595/razem-usb-v-avto-vreznoy-bystraya-zaryadka-1usb-pd-qc30-12v-24v-voltmetr-kruglyy/" TargetMode="External"/><Relationship Id="rId_hyperlink_540" Type="http://schemas.openxmlformats.org/officeDocument/2006/relationships/hyperlink" Target="https://optovikufa.ru/product/239199/razem-usb-v-avto-vreznoy-bystraya-zaryadka-1usb-pd-qc30-12v-24v-voltmetr-kruglyy/" TargetMode="External"/><Relationship Id="rId_hyperlink_541" Type="http://schemas.openxmlformats.org/officeDocument/2006/relationships/hyperlink" Target="https://optovikufa.ru/product/238591/razem-usb-v-avto-vreznoy-bystraya-zaryadka-1usb-pd-qc30-12v-24v-kruglyy/" TargetMode="External"/><Relationship Id="rId_hyperlink_542" Type="http://schemas.openxmlformats.org/officeDocument/2006/relationships/hyperlink" Target="https://optovikufa.ru/product/238590/razem-usb-v-avto-vreznoy-bystraya-zaryadka-2usb-qc30-12v-24v-kruglyy/" TargetMode="External"/><Relationship Id="rId_hyperlink_543" Type="http://schemas.openxmlformats.org/officeDocument/2006/relationships/hyperlink" Target="https://optovikufa.ru/product/238491/razem-usb-v-avtomobil-ponizhayuschiy-preobrazovatel-s-12v-na-5v-3a-emav-011/" TargetMode="External"/><Relationship Id="rId_hyperlink_544" Type="http://schemas.openxmlformats.org/officeDocument/2006/relationships/hyperlink" Target="https://optovikufa.ru/product/239570/razemy-usb2-v-avtomobil-ponizhayuschiy-preobrazovatel-s-12v-na-5v-3a-emav-0112/" TargetMode="External"/><Relationship Id="rId_hyperlink_545" Type="http://schemas.openxmlformats.org/officeDocument/2006/relationships/hyperlink" Target="https://optovikufa.ru/product/233777/derzhatel-predohranitelya-am-unival-so-shnurom-40mm-6awg/" TargetMode="External"/><Relationship Id="rId_hyperlink_546" Type="http://schemas.openxmlformats.org/officeDocument/2006/relationships/hyperlink" Target="https://optovikufa.ru/product/232947/derzhatel-predohranitelya-am-unival-so-shnurom-gorizontalnogo-soedineniya/" TargetMode="External"/><Relationship Id="rId_hyperlink_547" Type="http://schemas.openxmlformats.org/officeDocument/2006/relationships/hyperlink" Target="https://optovikufa.ru/product/241918/derzhatel-predohranitelya-predohranitel-5a-mini-shnur-030-m-075-kvmm-18awg-komplekt/" TargetMode="External"/><Relationship Id="rId_hyperlink_548" Type="http://schemas.openxmlformats.org/officeDocument/2006/relationships/hyperlink" Target="https://optovikufa.ru/product/239260/derzhatel-predohranitelya-predohranitel-10a-mini-shnur-030-m-125-kvmm-16awg-komplekt/" TargetMode="External"/><Relationship Id="rId_hyperlink_549" Type="http://schemas.openxmlformats.org/officeDocument/2006/relationships/hyperlink" Target="https://optovikufa.ru/product/239261/derzhatel-predohranitelya-predohranitel-15a-mini-shnur-030-m-200-kvmm-14awg-komplekt/" TargetMode="External"/><Relationship Id="rId_hyperlink_550" Type="http://schemas.openxmlformats.org/officeDocument/2006/relationships/hyperlink" Target="https://optovikufa.ru/product/239262/derzhatel-predohranitelya-predohranitel-20a-mini-shnur-030-m-200-kvmm-14awg-komplekt/" TargetMode="External"/><Relationship Id="rId_hyperlink_551" Type="http://schemas.openxmlformats.org/officeDocument/2006/relationships/hyperlink" Target="https://optovikufa.ru/product/239263/derzhatel-predohranitelya-predohranitel-30a-mini-shnur-030-m-340-kvmm-12awg-komplekt/" TargetMode="External"/><Relationship Id="rId_hyperlink_552" Type="http://schemas.openxmlformats.org/officeDocument/2006/relationships/hyperlink" Target="https://optovikufa.ru/product/240773/predohranitel-flazhkovyy-mini-10a-s-otvodom-140mm/" TargetMode="External"/><Relationship Id="rId_hyperlink_553" Type="http://schemas.openxmlformats.org/officeDocument/2006/relationships/hyperlink" Target="https://optovikufa.ru/product/240774/predohranitel-flazhkovyy-mini-15a-s-otvodom-140mm/" TargetMode="External"/><Relationship Id="rId_hyperlink_554" Type="http://schemas.openxmlformats.org/officeDocument/2006/relationships/hyperlink" Target="https://optovikufa.ru/product/240775/predohranitel-flazhkovyy-mini-20a-s-otvodom-140mm/" TargetMode="External"/><Relationship Id="rId_hyperlink_555" Type="http://schemas.openxmlformats.org/officeDocument/2006/relationships/hyperlink" Target="https://optovikufa.ru/product/240776/predohranitel-flazhkovyy-standart-10a-s-otvodom-140mm/" TargetMode="External"/><Relationship Id="rId_hyperlink_556" Type="http://schemas.openxmlformats.org/officeDocument/2006/relationships/hyperlink" Target="https://optovikufa.ru/product/240777/predohranitel-flazhkovyy-standart-15a-s-otvodom-140mm/" TargetMode="External"/><Relationship Id="rId_hyperlink_557" Type="http://schemas.openxmlformats.org/officeDocument/2006/relationships/hyperlink" Target="https://optovikufa.ru/product/240778/predohranitel-flazhkovyy-standart-20a-s-otvodom-140mm/" TargetMode="External"/><Relationship Id="rId_hyperlink_558" Type="http://schemas.openxmlformats.org/officeDocument/2006/relationships/hyperlink" Target="https://optovikufa.ru/product/137253/nabor-am-predohraniteley-avs-fc-229-cilindricheskie/" TargetMode="External"/><Relationship Id="rId_hyperlink_559" Type="http://schemas.openxmlformats.org/officeDocument/2006/relationships/hyperlink" Target="https://optovikufa.ru/product/238089/nabor-predohraniteley-flazhkovyh-mini-indikatornaya-otvertka/" TargetMode="External"/><Relationship Id="rId_hyperlink_560" Type="http://schemas.openxmlformats.org/officeDocument/2006/relationships/hyperlink" Target="https://optovikufa.ru/product/235688/gnezdo-avtomobilnogo-prikurivatelya-s-provodom-210mm-03m/" TargetMode="External"/><Relationship Id="rId_hyperlink_561" Type="http://schemas.openxmlformats.org/officeDocument/2006/relationships/hyperlink" Target="https://optovikufa.ru/product/242338/gnezdo-avtomobilnogo-prikurivatelya-s-provodom-210mm-03m-kolcevye-nakonechniki/" TargetMode="External"/><Relationship Id="rId_hyperlink_562" Type="http://schemas.openxmlformats.org/officeDocument/2006/relationships/hyperlink" Target="https://optovikufa.ru/product/242438/gnezdo-prikurivatelya-gnezdo-pitaniya-55h25mm-350mm/" TargetMode="External"/><Relationship Id="rId_hyperlink_563" Type="http://schemas.openxmlformats.org/officeDocument/2006/relationships/hyperlink" Target="https://optovikufa.ru/product/231547/gnezdo-prikurivatelya-avto-na-kabel-10/" TargetMode="External"/><Relationship Id="rId_hyperlink_564" Type="http://schemas.openxmlformats.org/officeDocument/2006/relationships/hyperlink" Target="https://optovikufa.ru/product/238425/gnezdo-prikurivatelya-avto-na-korpus-s-kryshkoy/" TargetMode="External"/><Relationship Id="rId_hyperlink_565" Type="http://schemas.openxmlformats.org/officeDocument/2006/relationships/hyperlink" Target="https://optovikufa.ru/product/184205/gnezdo-prikurivatelya-avto-na-korpus-s-kryshkoy/" TargetMode="External"/><Relationship Id="rId_hyperlink_566" Type="http://schemas.openxmlformats.org/officeDocument/2006/relationships/hyperlink" Target="https://optovikufa.ru/product/227578/gnezdo-prikurivatelya-avto-na-korpus-s-kryshkoy-s-gaykoy/" TargetMode="External"/><Relationship Id="rId_hyperlink_567" Type="http://schemas.openxmlformats.org/officeDocument/2006/relationships/hyperlink" Target="https://optovikufa.ru/product/239117/gnezdo-prikurivatelya-avto-na-korpus-s-kryshkoy-s-gaykoy-i-montazhnoy-plankoy/" TargetMode="External"/><Relationship Id="rId_hyperlink_568" Type="http://schemas.openxmlformats.org/officeDocument/2006/relationships/hyperlink" Target="https://optovikufa.ru/product/227779/gnezdo-prikurivatelya-avto-na-korpus-zelenaya-podsvetka/" TargetMode="External"/><Relationship Id="rId_hyperlink_569" Type="http://schemas.openxmlformats.org/officeDocument/2006/relationships/hyperlink" Target="https://optovikufa.ru/product/227780/gnezdo-prikurivatelya-avto-na-korpus-krasnaya-podsvetka/" TargetMode="External"/><Relationship Id="rId_hyperlink_570" Type="http://schemas.openxmlformats.org/officeDocument/2006/relationships/hyperlink" Target="https://optovikufa.ru/product/233475/gnezdo-prikurivatelya-avto-na-korpus-sinyaya-podsvetka/" TargetMode="External"/><Relationship Id="rId_hyperlink_571" Type="http://schemas.openxmlformats.org/officeDocument/2006/relationships/hyperlink" Target="https://optovikufa.ru/product/227778/gnezdo-prikurivatelya-avto-na-korpus-sinyaya-podsvetka/" TargetMode="External"/><Relationship Id="rId_hyperlink_572" Type="http://schemas.openxmlformats.org/officeDocument/2006/relationships/hyperlink" Target="https://optovikufa.ru/product/237694/gnezdo-prikurivatelya-germetinchoe-s-kryshkoy-provod-1m-15-kv-mm-12v24v/" TargetMode="External"/><Relationship Id="rId_hyperlink_573" Type="http://schemas.openxmlformats.org/officeDocument/2006/relationships/hyperlink" Target="https://optovikufa.ru/product/237691/gnezdo-prikurivatelya-na-korpus-metall/" TargetMode="External"/><Relationship Id="rId_hyperlink_574" Type="http://schemas.openxmlformats.org/officeDocument/2006/relationships/hyperlink" Target="https://optovikufa.ru/product/242439/gnezdo-prikurivatelya-na-korpus-metall-gayka/" TargetMode="External"/><Relationship Id="rId_hyperlink_575" Type="http://schemas.openxmlformats.org/officeDocument/2006/relationships/hyperlink" Target="https://optovikufa.ru/product/240796/gnezdo-prikurivatelya-na-korpus-s-kryshkoy-metall-s-predohranitelem-10a-provod-1m-1-kv-mm-12v24v/" TargetMode="External"/><Relationship Id="rId_hyperlink_576" Type="http://schemas.openxmlformats.org/officeDocument/2006/relationships/hyperlink" Target="https://optovikufa.ru/product/238452/gnezdo-prikurivatelya-na-korpus-s-kryshkoy-s-predohranitelem-10a-provod-1m-1-kv-mm-12v24v/" TargetMode="External"/><Relationship Id="rId_hyperlink_577" Type="http://schemas.openxmlformats.org/officeDocument/2006/relationships/hyperlink" Target="https://optovikufa.ru/product/231773/shteker-prikurivatelya-avto-evro-kreplenie-provoda-na-vint/" TargetMode="External"/><Relationship Id="rId_hyperlink_578" Type="http://schemas.openxmlformats.org/officeDocument/2006/relationships/hyperlink" Target="https://optovikufa.ru/product/240817/shteker-prikurivatelya-avto-evro-kreplenie-provoda-na-vint-s-kembrikom/" TargetMode="External"/><Relationship Id="rId_hyperlink_579" Type="http://schemas.openxmlformats.org/officeDocument/2006/relationships/hyperlink" Target="https://optovikufa.ru/product/239118/shteker-prikurivatelya-avto-s-knopkoy-indikator-vklyucheniya-predohranitel-3a-s-kembrikom/" TargetMode="External"/><Relationship Id="rId_hyperlink_580" Type="http://schemas.openxmlformats.org/officeDocument/2006/relationships/hyperlink" Target="https://optovikufa.ru/product/123932/shteker-prikurivatelya-avto-bez-indikatora-bez-predohranitelya/" TargetMode="External"/><Relationship Id="rId_hyperlink_581" Type="http://schemas.openxmlformats.org/officeDocument/2006/relationships/hyperlink" Target="https://optovikufa.ru/product/174868/shteker-prikurivatelya-avto-bez-predohranitelya-karbolit/" TargetMode="External"/><Relationship Id="rId_hyperlink_582" Type="http://schemas.openxmlformats.org/officeDocument/2006/relationships/hyperlink" Target="https://optovikufa.ru/product/231546/shteker-prikurivatelya-avto-indikator-vklyucheniya-predohranitel-10a-cn-4041-10/" TargetMode="External"/><Relationship Id="rId_hyperlink_583" Type="http://schemas.openxmlformats.org/officeDocument/2006/relationships/hyperlink" Target="https://optovikufa.ru/product/237695/shteker-prikurivatelya-avto-indikator-vklyucheniya-predohranitel-20a-bakelit-5-/" TargetMode="External"/><Relationship Id="rId_hyperlink_584" Type="http://schemas.openxmlformats.org/officeDocument/2006/relationships/hyperlink" Target="https://optovikufa.ru/product/236691/zvukovoy-signal-zadnego-hoda-12v24v-1103db/" TargetMode="External"/><Relationship Id="rId_hyperlink_585" Type="http://schemas.openxmlformats.org/officeDocument/2006/relationships/hyperlink" Target="https://optovikufa.ru/product/240865/schetka-dlya-snega-so-skrebkom-635sm-zelenaya/" TargetMode="External"/><Relationship Id="rId_hyperlink_586" Type="http://schemas.openxmlformats.org/officeDocument/2006/relationships/hyperlink" Target="https://optovikufa.ru/product/154221/schetka-skrebok-avs-washer-6316-malaya-445sm/" TargetMode="External"/><Relationship Id="rId_hyperlink_587" Type="http://schemas.openxmlformats.org/officeDocument/2006/relationships/hyperlink" Target="https://optovikufa.ru/product/126999/schetka-skrebok-avs-washer-6318-bolshaya-62sm/" TargetMode="External"/><Relationship Id="rId_hyperlink_588" Type="http://schemas.openxmlformats.org/officeDocument/2006/relationships/hyperlink" Target="https://optovikufa.ru/product/146145/schetka-skrebok-avs-washer-6328-srednyaya-52sm/" TargetMode="External"/><Relationship Id="rId_hyperlink_589" Type="http://schemas.openxmlformats.org/officeDocument/2006/relationships/hyperlink" Target="https://optovikufa.ru/product/141698/iskusstvennaya-zamsha-v-tubuse-avs-ch-6443-6443sm-12/" TargetMode="External"/><Relationship Id="rId_hyperlink_590" Type="http://schemas.openxmlformats.org/officeDocument/2006/relationships/hyperlink" Target="https://optovikufa.ru/product/177201/mikrofibra-avs-mf-6023-3540sm/" TargetMode="External"/><Relationship Id="rId_hyperlink_591" Type="http://schemas.openxmlformats.org/officeDocument/2006/relationships/hyperlink" Target="https://optovikufa.ru/product/182869/mikrofibra-avs-mfn-6103-ekstraplotnaya-3540sm/" TargetMode="External"/><Relationship Id="rId_hyperlink_592" Type="http://schemas.openxmlformats.org/officeDocument/2006/relationships/hyperlink" Target="https://optovikufa.ru/product/182870/mikrofibra-avs-mfn-6104-ekstraplotnaya-3540sm/" TargetMode="External"/><Relationship Id="rId_hyperlink_593" Type="http://schemas.openxmlformats.org/officeDocument/2006/relationships/hyperlink" Target="https://optovikufa.ru/product/159364/mikrofibra-avs-mfn-6106-osoboe-pletenie-35h40sm/" TargetMode="External"/><Relationship Id="rId_hyperlink_594" Type="http://schemas.openxmlformats.org/officeDocument/2006/relationships/hyperlink" Target="https://optovikufa.ru/product/159366/mikrofibra-avs-mfn-6114-35h40sm/" TargetMode="External"/><Relationship Id="rId_hyperlink_595" Type="http://schemas.openxmlformats.org/officeDocument/2006/relationships/hyperlink" Target="https://optovikufa.ru/product/233469/mikrofibra-avs-mfn-6120-30h30sm-upak10sht/" TargetMode="External"/><Relationship Id="rId_hyperlink_596" Type="http://schemas.openxmlformats.org/officeDocument/2006/relationships/hyperlink" Target="https://optovikufa.ru/product/182871/mikrofibra-avs-mfn-6131-ekstraplotnaya-3540sm/" TargetMode="External"/><Relationship Id="rId_hyperlink_597" Type="http://schemas.openxmlformats.org/officeDocument/2006/relationships/hyperlink" Target="https://optovikufa.ru/product/159365/salfetka-mikrofibra-c-abrazivnoy-setkoy-35h40sm-mfn6109/" TargetMode="External"/><Relationship Id="rId_hyperlink_598" Type="http://schemas.openxmlformats.org/officeDocument/2006/relationships/hyperlink" Target="https://optovikufa.ru/product/159367/salfetka-mikrofibra-s-ultratonkimi-voloknami-35h40sm-mfn6115/" TargetMode="External"/><Relationship Id="rId_hyperlink_599" Type="http://schemas.openxmlformats.org/officeDocument/2006/relationships/hyperlink" Target="https://optovikufa.ru/product/240625/bluetooth-wi-fi-adapter-usb-v40-24ggc-150mbit-ot-pcb19/" TargetMode="External"/><Relationship Id="rId_hyperlink_600" Type="http://schemas.openxmlformats.org/officeDocument/2006/relationships/hyperlink" Target="https://optovikufa.ru/product/237945/adapter-wi-fi-bluetooth-dream-w6-bluetooth-42-150-mbs/" TargetMode="External"/><Relationship Id="rId_hyperlink_601" Type="http://schemas.openxmlformats.org/officeDocument/2006/relationships/hyperlink" Target="https://optovikufa.ru/product/231246/adapter-wi-fi-dream-150mbs-v2/" TargetMode="External"/><Relationship Id="rId_hyperlink_602" Type="http://schemas.openxmlformats.org/officeDocument/2006/relationships/hyperlink" Target="https://optovikufa.ru/product/225746/adapter-wi-fi-dream-150mbps/" TargetMode="External"/><Relationship Id="rId_hyperlink_603" Type="http://schemas.openxmlformats.org/officeDocument/2006/relationships/hyperlink" Target="https://optovikufa.ru/product/222059/adapter-wi-fi-dream-w01-150mbs-175024/" TargetMode="External"/><Relationship Id="rId_hyperlink_604" Type="http://schemas.openxmlformats.org/officeDocument/2006/relationships/hyperlink" Target="https://optovikufa.ru/product/236906/adapter-wi-fi-w15-usb-20/" TargetMode="External"/><Relationship Id="rId_hyperlink_605" Type="http://schemas.openxmlformats.org/officeDocument/2006/relationships/hyperlink" Target="https://optovikufa.ru/product/236907/adapter-wi-fi-w16-usb-20/" TargetMode="External"/><Relationship Id="rId_hyperlink_606" Type="http://schemas.openxmlformats.org/officeDocument/2006/relationships/hyperlink" Target="https://optovikufa.ru/product/131675/adapter-wi-fi-wd-308-150mbps/" TargetMode="External"/><Relationship Id="rId_hyperlink_607" Type="http://schemas.openxmlformats.org/officeDocument/2006/relationships/hyperlink" Target="https://optovikufa.ru/product/237950/adapter-wi-fi-s-antennoy-dream-uw08-150mbs/" TargetMode="External"/><Relationship Id="rId_hyperlink_608" Type="http://schemas.openxmlformats.org/officeDocument/2006/relationships/hyperlink" Target="https://optovikufa.ru/product/228583/adapter-wi-fi-dream-300mbps-b3505-rtl8192/" TargetMode="External"/><Relationship Id="rId_hyperlink_609" Type="http://schemas.openxmlformats.org/officeDocument/2006/relationships/hyperlink" Target="https://optovikufa.ru/product/146269/adapter-wi-fi-wd-310-300mbps-ot-pck03/" TargetMode="External"/><Relationship Id="rId_hyperlink_610" Type="http://schemas.openxmlformats.org/officeDocument/2006/relationships/hyperlink" Target="https://optovikufa.ru/product/239239/antenna-dlya-wi-fi-routerov-vsenapravlennaya-usilenie-7dbi-dlina-270mm-7db-sma-rp/" TargetMode="External"/><Relationship Id="rId_hyperlink_611" Type="http://schemas.openxmlformats.org/officeDocument/2006/relationships/hyperlink" Target="https://optovikufa.ru/product/239238/antenna-dlya-wi-fi-routerov-vsenapravlennaya-usilenie-9dbi-dlina-378mm/" TargetMode="External"/><Relationship Id="rId_hyperlink_612" Type="http://schemas.openxmlformats.org/officeDocument/2006/relationships/hyperlink" Target="https://optovikufa.ru/product/233373/antenna-dlya-wi-fi-routerov-vneshnyaya-na-osnovanii-kabel-3m-usilenie-2-dbi-dlina-110mm-sma-p/" TargetMode="External"/><Relationship Id="rId_hyperlink_613" Type="http://schemas.openxmlformats.org/officeDocument/2006/relationships/hyperlink" Target="https://optovikufa.ru/product/231581/vneshnyaya-setevaya-karta-usb-rg45-lan-h47/" TargetMode="External"/><Relationship Id="rId_hyperlink_614" Type="http://schemas.openxmlformats.org/officeDocument/2006/relationships/hyperlink" Target="https://optovikufa.ru/product/235901/vneshnyaya-setevaya-karta-usb-rg45-lan-h48/" TargetMode="External"/><Relationship Id="rId_hyperlink_615" Type="http://schemas.openxmlformats.org/officeDocument/2006/relationships/hyperlink" Target="https://optovikufa.ru/product/235178/perehodnik-rg45-gnezdo-rg45-gnezdo/" TargetMode="External"/><Relationship Id="rId_hyperlink_616" Type="http://schemas.openxmlformats.org/officeDocument/2006/relationships/hyperlink" Target="https://optovikufa.ru/product/235904/perehodnik-usb-po-vitoy-pare-1m1f-h59/" TargetMode="External"/><Relationship Id="rId_hyperlink_617" Type="http://schemas.openxmlformats.org/officeDocument/2006/relationships/hyperlink" Target="https://optovikufa.ru/product/235905/perehodnik-usb-po-vitoy-pare-1m2f-h60/" TargetMode="External"/><Relationship Id="rId_hyperlink_618" Type="http://schemas.openxmlformats.org/officeDocument/2006/relationships/hyperlink" Target="https://optovikufa.ru/product/235177/perehodnik-usb-shteker-lan-rg45-gnezdo/" TargetMode="External"/><Relationship Id="rId_hyperlink_619" Type="http://schemas.openxmlformats.org/officeDocument/2006/relationships/hyperlink" Target="https://optovikufa.ru/product/239938/perehodnik-dlya-patch-korda-8p8c-h148-gnezdo-2-gnezda-razvetvitel/" TargetMode="External"/><Relationship Id="rId_hyperlink_620" Type="http://schemas.openxmlformats.org/officeDocument/2006/relationships/hyperlink" Target="https://optovikufa.ru/product/153687/perehodnik-dlya-patch-korda-8p8c-gnezdo-2-gnezda-razvetvitel/" TargetMode="External"/><Relationship Id="rId_hyperlink_621" Type="http://schemas.openxmlformats.org/officeDocument/2006/relationships/hyperlink" Target="https://optovikufa.ru/product/234803/razvetvitel-dlya-internet-kabelya-rj45-1f2f-8p8c-ftp-5e-lan-rabotayut-tolko-v-pare-/" TargetMode="External"/><Relationship Id="rId_hyperlink_622" Type="http://schemas.openxmlformats.org/officeDocument/2006/relationships/hyperlink" Target="https://optovikufa.ru/product/122285/razvetvitel-dlya-internet-kabelya-rj45-1m2f-8p8c-ftp-5e-lan-rabotayut-tolko-v-pare-/" TargetMode="External"/><Relationship Id="rId_hyperlink_623" Type="http://schemas.openxmlformats.org/officeDocument/2006/relationships/hyperlink" Target="https://optovikufa.ru/product/144982/adapter-pitaniya-dlya-noutbuka-150v350a-shteker-47417mm-compaq/" TargetMode="External"/><Relationship Id="rId_hyperlink_624" Type="http://schemas.openxmlformats.org/officeDocument/2006/relationships/hyperlink" Target="https://optovikufa.ru/product/171878/adapter-pitaniya-dlya-noutbuka-150v600a-shteker-6330mm-toshiba-lp-603/" TargetMode="External"/><Relationship Id="rId_hyperlink_625" Type="http://schemas.openxmlformats.org/officeDocument/2006/relationships/hyperlink" Target="https://optovikufa.ru/product/177689/adapter-pitaniya-dlya-noutbuka-185v270a-shteker-47417mm-compaq-lp-532/" TargetMode="External"/><Relationship Id="rId_hyperlink_626" Type="http://schemas.openxmlformats.org/officeDocument/2006/relationships/hyperlink" Target="https://optovikufa.ru/product/165760/adapter-pitaniya-dlya-noutbuka-190v175a-shteker-40135mm-40w-asus-13-ot-apb10/" TargetMode="External"/><Relationship Id="rId_hyperlink_627" Type="http://schemas.openxmlformats.org/officeDocument/2006/relationships/hyperlink" Target="https://optovikufa.ru/product/222423/adapter-pitaniya-dlya-noutbuka-190v175a-shteker-miniusb-asus-ot-apb75/" TargetMode="External"/><Relationship Id="rId_hyperlink_628" Type="http://schemas.openxmlformats.org/officeDocument/2006/relationships/hyperlink" Target="https://optovikufa.ru/product/180430/adapter-pitaniya-dlya-noutbuka-200v450a-shteker-usb-lenovo-lp-563/" TargetMode="External"/><Relationship Id="rId_hyperlink_629" Type="http://schemas.openxmlformats.org/officeDocument/2006/relationships/hyperlink" Target="https://optovikufa.ru/product/150437/azu-dlya-planshetov-activ-5v-3a-razem-25-h-09-mm/" TargetMode="External"/><Relationship Id="rId_hyperlink_630" Type="http://schemas.openxmlformats.org/officeDocument/2006/relationships/hyperlink" Target="https://optovikufa.ru/product/237254/podstavka-kuler-dlya-noutbuka-hoco-ph40-serebryanyy/" TargetMode="External"/><Relationship Id="rId_hyperlink_631" Type="http://schemas.openxmlformats.org/officeDocument/2006/relationships/hyperlink" Target="https://optovikufa.ru/product/137809/klipkeys-irual-mesh-shell-dlya-ipad-air-matovo-prozrachnyy-irmsd500-mcl-rasprodazha/" TargetMode="External"/><Relationship Id="rId_hyperlink_632" Type="http://schemas.openxmlformats.org/officeDocument/2006/relationships/hyperlink" Target="https://optovikufa.ru/product/137810/klipkeys-irual-mesh-shell-dlya-ipad-air-chernyy-irmsd500-mbkrasprodazha/" TargetMode="External"/><Relationship Id="rId_hyperlink_633" Type="http://schemas.openxmlformats.org/officeDocument/2006/relationships/hyperlink" Target="https://optovikufa.ru/product/137811/klipkeys-irual-mesh-shell-dlya-ipad-mini-retina-matovo-prozrachnyy-irmsm210-mcl-rasprodazha/" TargetMode="External"/><Relationship Id="rId_hyperlink_634" Type="http://schemas.openxmlformats.org/officeDocument/2006/relationships/hyperlink" Target="https://optovikufa.ru/product/137812/klipkeys-irual-mesh-shell-dlya-ipad-mini-retina-chernyy-irmsm210-mbk-rasprodazha/" TargetMode="External"/><Relationship Id="rId_hyperlink_635" Type="http://schemas.openxmlformats.org/officeDocument/2006/relationships/hyperlink" Target="https://optovikufa.ru/product/150085/sumka-dlya-noutbuka-defender-portfolio-156-papka-na-molnii-korichnevyy/" TargetMode="External"/><Relationship Id="rId_hyperlink_636" Type="http://schemas.openxmlformats.org/officeDocument/2006/relationships/hyperlink" Target="https://optovikufa.ru/product/137813/chehol-smartbuy-dlya-ipad-air-candy-chernyy-sbc-candy-ipad-air-k-rasprodazha/" TargetMode="External"/><Relationship Id="rId_hyperlink_637" Type="http://schemas.openxmlformats.org/officeDocument/2006/relationships/hyperlink" Target="https://optovikufa.ru/product/137814/chehol-smartbuy-dlya-ipad-air-glide-chernyy-sbc-glide-ipadair-k-rasprodazha/" TargetMode="External"/><Relationship Id="rId_hyperlink_638" Type="http://schemas.openxmlformats.org/officeDocument/2006/relationships/hyperlink" Target="https://optovikufa.ru/product/178613/chehol-smartbuy-dlya-ipad-mini-1ipad-mini-2-candy-rozovyy-sbc-candy-iminiret-p-rasprodazha/" TargetMode="External"/><Relationship Id="rId_hyperlink_639" Type="http://schemas.openxmlformats.org/officeDocument/2006/relationships/hyperlink" Target="https://optovikufa.ru/product/178614/chehol-smartbuy-dlya-ipad-mini-1ipad-mini-2-candy-chernyy-sbc-candy-iminiret-k-rasprodazha/" TargetMode="External"/><Relationship Id="rId_hyperlink_640" Type="http://schemas.openxmlformats.org/officeDocument/2006/relationships/hyperlink" Target="https://optovikufa.ru/product/178615/chehol-smartbuy-dlya-ipad-mini-full-grain-chernyy-sbc-full-grain-imini-krasprodazha/" TargetMode="External"/><Relationship Id="rId_hyperlink_641" Type="http://schemas.openxmlformats.org/officeDocument/2006/relationships/hyperlink" Target="https://optovikufa.ru/product/178616/chehol-smartbuy-dlya-ipad-mini-smart-case-smooth-chernyy-sbc-sc-smooth-imini-k-rasprodazha/" TargetMode="External"/><Relationship Id="rId_hyperlink_642" Type="http://schemas.openxmlformats.org/officeDocument/2006/relationships/hyperlink" Target="https://optovikufa.ru/product/178618/chehol-smartbuy-dlya-samsung-galaxy-tab-30-7-full-grain-belyy-sbc-fullgrain-tab-30-7-wrasprodazha/" TargetMode="External"/><Relationship Id="rId_hyperlink_643" Type="http://schemas.openxmlformats.org/officeDocument/2006/relationships/hyperlink" Target="https://optovikufa.ru/product/178621/chehol-smartbuy-dlya-samsung-galaxy-tab-30-8-honeycomb-serebryanyy-sbc-honeycomb-tab-30-8-s-raprodazha/" TargetMode="External"/><Relationship Id="rId_hyperlink_644" Type="http://schemas.openxmlformats.org/officeDocument/2006/relationships/hyperlink" Target="https://optovikufa.ru/product/178622/chehol-smartbuy-dlya-samsung-galaxy-tab-30-8-honeycomb-slivovyy-sbc-honeycomb-tab-30-8-f-rasprodazha/" TargetMode="External"/><Relationship Id="rId_hyperlink_645" Type="http://schemas.openxmlformats.org/officeDocument/2006/relationships/hyperlink" Target="https://optovikufa.ru/product/179181/chehol-dlya-plansheta-defender-mini-case-79-dlya-ipad-mini-sermagnitn-rasprodazha/" TargetMode="External"/><Relationship Id="rId_hyperlink_646" Type="http://schemas.openxmlformats.org/officeDocument/2006/relationships/hyperlink" Target="https://optovikufa.ru/product/173092/chehol-podstavka-dlya-plansheta-aspire-pod-kozhu-belyy-007-nb-rasprodazha/" TargetMode="External"/><Relationship Id="rId_hyperlink_647" Type="http://schemas.openxmlformats.org/officeDocument/2006/relationships/hyperlink" Target="https://optovikufa.ru/product/173091/chehol-podstavka-dlya-plansheta-aspire-pod-kozhu-chernyy-005-nb-rasprodazha/" TargetMode="External"/><Relationship Id="rId_hyperlink_648" Type="http://schemas.openxmlformats.org/officeDocument/2006/relationships/hyperlink" Target="https://optovikufa.ru/product/173094/chehol-podstavka-romb-dlya-plansheta-aspire-pod-kozhu-belyy-011-nb-rasprodazha/" TargetMode="External"/><Relationship Id="rId_hyperlink_649" Type="http://schemas.openxmlformats.org/officeDocument/2006/relationships/hyperlink" Target="https://optovikufa.ru/product/173093/chehol-podstavka-romb-dlya-plansheta-aspire-pod-kozhu-chernyy-010-nb-rasprodazha/" TargetMode="External"/><Relationship Id="rId_hyperlink_650" Type="http://schemas.openxmlformats.org/officeDocument/2006/relationships/hyperlink" Target="https://optovikufa.ru/product/222588/aktivnaya-as-20-defender-spk-33-belyy/" TargetMode="External"/><Relationship Id="rId_hyperlink_651" Type="http://schemas.openxmlformats.org/officeDocument/2006/relationships/hyperlink" Target="https://optovikufa.ru/product/147877/aktivnaya-as-20-defender-spk-35-2x25w-usb-interfeys/" TargetMode="External"/><Relationship Id="rId_hyperlink_652" Type="http://schemas.openxmlformats.org/officeDocument/2006/relationships/hyperlink" Target="https://optovikufa.ru/product/178955/aktivnaya-as-20-defender-spk-210-2x2w/" TargetMode="External"/><Relationship Id="rId_hyperlink_653" Type="http://schemas.openxmlformats.org/officeDocument/2006/relationships/hyperlink" Target="https://optovikufa.ru/product/191623/aktivnaya-as-20-defender-spk-225-21w-pitanie-usb-serebristye/" TargetMode="External"/><Relationship Id="rId_hyperlink_654" Type="http://schemas.openxmlformats.org/officeDocument/2006/relationships/hyperlink" Target="https://optovikufa.ru/product/133197/aktivnaya-as-20-dialog-colibri-ac-06up-26w-usb-interfeys-cherno-belaya/" TargetMode="External"/><Relationship Id="rId_hyperlink_655" Type="http://schemas.openxmlformats.org/officeDocument/2006/relationships/hyperlink" Target="https://optovikufa.ru/product/158596/aktivnaya-sistema-20-perfeo-cabinet-usb-moschnost-2h3-vtrms-mahagon-pf-84/" TargetMode="External"/><Relationship Id="rId_hyperlink_656" Type="http://schemas.openxmlformats.org/officeDocument/2006/relationships/hyperlink" Target="https://optovikufa.ru/product/174065/aktivnaya-sistema-20-perfeo-cabinet-usb-moschnost-2h3-vtrms-chernoe-derevo-pf-84-bk/" TargetMode="External"/><Relationship Id="rId_hyperlink_657" Type="http://schemas.openxmlformats.org/officeDocument/2006/relationships/hyperlink" Target="https://optovikufa.ru/product/217597/aktivnaya-sistema-20-perfeo-cabinet-moschnost-2h3-vt-rms-belyy-dub-usb/" TargetMode="External"/><Relationship Id="rId_hyperlink_658" Type="http://schemas.openxmlformats.org/officeDocument/2006/relationships/hyperlink" Target="https://optovikufa.ru/product/217080/aktivnaya-sistema-20-perfeo-calibr-chernye/" TargetMode="External"/><Relationship Id="rId_hyperlink_659" Type="http://schemas.openxmlformats.org/officeDocument/2006/relationships/hyperlink" Target="https://optovikufa.ru/product/233050/aktivnaya-sistema-20-perfeo-flames-chernaya/" TargetMode="External"/><Relationship Id="rId_hyperlink_660" Type="http://schemas.openxmlformats.org/officeDocument/2006/relationships/hyperlink" Target="https://optovikufa.ru/product/141534/aktivnaya-sistema-20-perfeo-mirage-moschnost-2h3-vt-rms-chern-usb-pf-2023/" TargetMode="External"/><Relationship Id="rId_hyperlink_661" Type="http://schemas.openxmlformats.org/officeDocument/2006/relationships/hyperlink" Target="https://optovikufa.ru/product/141535/aktivnaya-sistema-20-perfeo-monitor-moschnost-2h3-vt-rms-chern-usb-pf-2079/" TargetMode="External"/><Relationship Id="rId_hyperlink_662" Type="http://schemas.openxmlformats.org/officeDocument/2006/relationships/hyperlink" Target="https://optovikufa.ru/product/233052/aktivnaya-sistema-20-perfeo-shine-chernaya/" TargetMode="External"/><Relationship Id="rId_hyperlink_663" Type="http://schemas.openxmlformats.org/officeDocument/2006/relationships/hyperlink" Target="https://optovikufa.ru/product/151452/aktivnaya-sistema-20-perfeo-tam-tam-moschnost-2h3-vt-rms-chern-usb-pf-1001/" TargetMode="External"/><Relationship Id="rId_hyperlink_664" Type="http://schemas.openxmlformats.org/officeDocument/2006/relationships/hyperlink" Target="https://optovikufa.ru/product/147844/aktivnaya-sistema-20-perfeo-tower-moschnost-2h3-vt-rms-chern-usb-pf-532/" TargetMode="External"/><Relationship Id="rId_hyperlink_665" Type="http://schemas.openxmlformats.org/officeDocument/2006/relationships/hyperlink" Target="https://optovikufa.ru/product/233053/aktivnaya-sistema-20-perfeo-trial-chernaya/" TargetMode="External"/><Relationship Id="rId_hyperlink_666" Type="http://schemas.openxmlformats.org/officeDocument/2006/relationships/hyperlink" Target="https://optovikufa.ru/product/151777/aktivnaya-sistema-20-perfeo-uno-moschnost-2h3-vt-rms-chern-usb-pf-210/" TargetMode="External"/><Relationship Id="rId_hyperlink_667" Type="http://schemas.openxmlformats.org/officeDocument/2006/relationships/hyperlink" Target="https://optovikufa.ru/product/145082/aktivnaya-sistema-20-perfeo-wave-chernyy/" TargetMode="External"/><Relationship Id="rId_hyperlink_668" Type="http://schemas.openxmlformats.org/officeDocument/2006/relationships/hyperlink" Target="https://optovikufa.ru/product/129751/aktivnaya-sistema-20-smartbuy-cute-moschnost-6vt-usb-cherno-zelenye-sba-2580/" TargetMode="External"/><Relationship Id="rId_hyperlink_669" Type="http://schemas.openxmlformats.org/officeDocument/2006/relationships/hyperlink" Target="https://optovikufa.ru/product/129752/aktivnaya-sistema-20-smartbuy-cute-moschnost-6vt-usb-cherno-oranzhevye-sba-2590/" TargetMode="External"/><Relationship Id="rId_hyperlink_670" Type="http://schemas.openxmlformats.org/officeDocument/2006/relationships/hyperlink" Target="https://optovikufa.ru/product/129753/aktivnaya-sistema-20-smartbuy-cute-moschnost-6vt-usb-cherno-serye-sba-2570/" TargetMode="External"/><Relationship Id="rId_hyperlink_671" Type="http://schemas.openxmlformats.org/officeDocument/2006/relationships/hyperlink" Target="https://optovikufa.ru/product/174563/aktivnaya-sistema-20-smartbuy-fest-usb-sba-2500/" TargetMode="External"/><Relationship Id="rId_hyperlink_672" Type="http://schemas.openxmlformats.org/officeDocument/2006/relationships/hyperlink" Target="https://optovikufa.ru/product/129755/aktivnaya-sistema-20-smartbuy-mini-moschnost-4vt-usb-serye-sba-2810/" TargetMode="External"/><Relationship Id="rId_hyperlink_673" Type="http://schemas.openxmlformats.org/officeDocument/2006/relationships/hyperlink" Target="https://optovikufa.ru/product/219849/aktivnaya-sistema-20-smartbuy-one-derevo-usb-korichnevyy-sba-102/" TargetMode="External"/><Relationship Id="rId_hyperlink_674" Type="http://schemas.openxmlformats.org/officeDocument/2006/relationships/hyperlink" Target="https://optovikufa.ru/product/219850/aktivnaya-sistema-20-smartbuy-one-derevo-usb-chernyy-sba-101/" TargetMode="External"/><Relationship Id="rId_hyperlink_675" Type="http://schemas.openxmlformats.org/officeDocument/2006/relationships/hyperlink" Target="https://optovikufa.ru/product/173366/aktivnaya-sistema-20-smartbuy-orca-band-6vt-usb-sba-1000/" TargetMode="External"/><Relationship Id="rId_hyperlink_676" Type="http://schemas.openxmlformats.org/officeDocument/2006/relationships/hyperlink" Target="https://optovikufa.ru/product/236724/aktivnaya-sistema-20-smartbuy-rhapsody-sba-4800/" TargetMode="External"/><Relationship Id="rId_hyperlink_677" Type="http://schemas.openxmlformats.org/officeDocument/2006/relationships/hyperlink" Target="https://optovikufa.ru/product/152082/aktivnaya-sistema-20-smartbuy-torch-moschnost-6vt-korpus-mdf-usb-sba-2560/" TargetMode="External"/><Relationship Id="rId_hyperlink_678" Type="http://schemas.openxmlformats.org/officeDocument/2006/relationships/hyperlink" Target="https://optovikufa.ru/product/236725/aktivnaya-sistema-20-smartbuy-w30-6vt-usb-sba-4850/" TargetMode="External"/><Relationship Id="rId_hyperlink_679" Type="http://schemas.openxmlformats.org/officeDocument/2006/relationships/hyperlink" Target="https://optovikufa.ru/product/236726/aktivnaya-sistema-20-smartbuy-w50-6vt-usb-sba-4900/" TargetMode="External"/><Relationship Id="rId_hyperlink_680" Type="http://schemas.openxmlformats.org/officeDocument/2006/relationships/hyperlink" Target="https://optovikufa.ru/product/231195/adapter-zvukovoy-dlya-pk-71-usb-20/" TargetMode="External"/><Relationship Id="rId_hyperlink_681" Type="http://schemas.openxmlformats.org/officeDocument/2006/relationships/hyperlink" Target="https://optovikufa.ru/product/223558/adapter-zvukovoy-dlya-pk-71-usb-20/" TargetMode="External"/><Relationship Id="rId_hyperlink_682" Type="http://schemas.openxmlformats.org/officeDocument/2006/relationships/hyperlink" Target="https://optovikufa.ru/product/234856/adapter-zvukovoy-dlya-pk-71-usb-20/" TargetMode="External"/><Relationship Id="rId_hyperlink_683" Type="http://schemas.openxmlformats.org/officeDocument/2006/relationships/hyperlink" Target="https://optovikufa.ru/product/243105/adapter-zvukovoy-dlya-pk-71-usb-20/" TargetMode="External"/><Relationship Id="rId_hyperlink_684" Type="http://schemas.openxmlformats.org/officeDocument/2006/relationships/hyperlink" Target="https://optovikufa.ru/product/236894/adapter-zvukovoy-dlya-pk-usb-20-z60-aux-4pin/" TargetMode="External"/><Relationship Id="rId_hyperlink_685" Type="http://schemas.openxmlformats.org/officeDocument/2006/relationships/hyperlink" Target="https://optovikufa.ru/product/137807/usb-hubkartrider-smartbuy-combo-sbrh-750-b-blue/" TargetMode="External"/><Relationship Id="rId_hyperlink_686" Type="http://schemas.openxmlformats.org/officeDocument/2006/relationships/hyperlink" Target="https://optovikufa.ru/product/230352/usb-kartrider-30-smartbuy-sbr-705-k-micro-sd-chernyy/" TargetMode="External"/><Relationship Id="rId_hyperlink_687" Type="http://schemas.openxmlformats.org/officeDocument/2006/relationships/hyperlink" Target="https://optovikufa.ru/product/230351/usb-kartrider-30-smartbuy-sbr-705-w-micro-sd-belyy/" TargetMode="External"/><Relationship Id="rId_hyperlink_688" Type="http://schemas.openxmlformats.org/officeDocument/2006/relationships/hyperlink" Target="https://optovikufa.ru/product/240699/usb-kartrider-smartbuy-30-sbr-750-b-sdmicrosd-b/" TargetMode="External"/><Relationship Id="rId_hyperlink_689" Type="http://schemas.openxmlformats.org/officeDocument/2006/relationships/hyperlink" Target="https://optovikufa.ru/product/174556/usb-kartrider-smartbuy-sbr-717-b-sd-microsd-m2-goluboy/" TargetMode="External"/><Relationship Id="rId_hyperlink_690" Type="http://schemas.openxmlformats.org/officeDocument/2006/relationships/hyperlink" Target="https://optovikufa.ru/product/149888/usb-kartrider-smartbuy-sbr-749-w-white/" TargetMode="External"/><Relationship Id="rId_hyperlink_691" Type="http://schemas.openxmlformats.org/officeDocument/2006/relationships/hyperlink" Target="https://optovikufa.ru/product/123635/usb-kartrider-smartbuy-sd-microsd-m2-sbr-715-r-krasnyy/" TargetMode="External"/><Relationship Id="rId_hyperlink_692" Type="http://schemas.openxmlformats.org/officeDocument/2006/relationships/hyperlink" Target="https://optovikufa.ru/product/137804/usb-kartrider-smartbuy-sd-microsd-m2-usb-30-belyy-sbr-700-w/" TargetMode="External"/><Relationship Id="rId_hyperlink_693" Type="http://schemas.openxmlformats.org/officeDocument/2006/relationships/hyperlink" Target="https://optovikufa.ru/product/137805/usb-kartrider-smartbuy-sd-microsd-m2-usb-30-chernyy-sbr-700-k/" TargetMode="External"/><Relationship Id="rId_hyperlink_694" Type="http://schemas.openxmlformats.org/officeDocument/2006/relationships/hyperlink" Target="https://optovikufa.ru/product/242082/type-cusb-hub-qc07-4-porta-usb-20/" TargetMode="External"/><Relationship Id="rId_hyperlink_695" Type="http://schemas.openxmlformats.org/officeDocument/2006/relationships/hyperlink" Target="https://optovikufa.ru/product/234380/usb-hub-dream-a4-2usb/" TargetMode="External"/><Relationship Id="rId_hyperlink_696" Type="http://schemas.openxmlformats.org/officeDocument/2006/relationships/hyperlink" Target="https://optovikufa.ru/product/234381/usb-hub-dream-a6-3usb/" TargetMode="External"/><Relationship Id="rId_hyperlink_697" Type="http://schemas.openxmlformats.org/officeDocument/2006/relationships/hyperlink" Target="https://optovikufa.ru/product/234382/usb-hub-dream-a7-3usb/" TargetMode="External"/><Relationship Id="rId_hyperlink_698" Type="http://schemas.openxmlformats.org/officeDocument/2006/relationships/hyperlink" Target="https://optovikufa.ru/product/234383/usb-hub-dream-b1-4usb/" TargetMode="External"/><Relationship Id="rId_hyperlink_699" Type="http://schemas.openxmlformats.org/officeDocument/2006/relationships/hyperlink" Target="https://optovikufa.ru/product/218153/usb-hub-dream-uh1-7usb/" TargetMode="External"/><Relationship Id="rId_hyperlink_700" Type="http://schemas.openxmlformats.org/officeDocument/2006/relationships/hyperlink" Target="https://optovikufa.ru/product/217953/usb-hub-dream-uh2-4usb-dream/" TargetMode="External"/><Relationship Id="rId_hyperlink_701" Type="http://schemas.openxmlformats.org/officeDocument/2006/relationships/hyperlink" Target="https://optovikufa.ru/product/234177/usb-hub-dream-z6-4usb/" TargetMode="External"/><Relationship Id="rId_hyperlink_702" Type="http://schemas.openxmlformats.org/officeDocument/2006/relationships/hyperlink" Target="https://optovikufa.ru/product/126460/usb-hub-smartbuy-sbha-408-w-4-porta-white/" TargetMode="External"/><Relationship Id="rId_hyperlink_703" Type="http://schemas.openxmlformats.org/officeDocument/2006/relationships/hyperlink" Target="https://optovikufa.ru/product/173279/usb-hub-smartbuy-sbha-6110-b-4-porta-blue/" TargetMode="External"/><Relationship Id="rId_hyperlink_704" Type="http://schemas.openxmlformats.org/officeDocument/2006/relationships/hyperlink" Target="https://optovikufa.ru/product/173282/usb-hub-smartbuy-sbha-6110-k-4-porta-black/" TargetMode="External"/><Relationship Id="rId_hyperlink_705" Type="http://schemas.openxmlformats.org/officeDocument/2006/relationships/hyperlink" Target="https://optovikufa.ru/product/173280/usb-hub-smartbuy-sbha-6810-b-4-porta-blue/" TargetMode="External"/><Relationship Id="rId_hyperlink_706" Type="http://schemas.openxmlformats.org/officeDocument/2006/relationships/hyperlink" Target="https://optovikufa.ru/product/175413/usb-hub-smartbuy-sbha-6810-k-4-porta-black/" TargetMode="External"/><Relationship Id="rId_hyperlink_707" Type="http://schemas.openxmlformats.org/officeDocument/2006/relationships/hyperlink" Target="https://optovikufa.ru/product/173277/usb-hub-smartbuy-sbha-6810-w-4-porta-white/" TargetMode="External"/><Relationship Id="rId_hyperlink_708" Type="http://schemas.openxmlformats.org/officeDocument/2006/relationships/hyperlink" Target="https://optovikufa.ru/product/173281/usb-hub-smartbuy-sbha-6900-b-4-porta-blue/" TargetMode="External"/><Relationship Id="rId_hyperlink_709" Type="http://schemas.openxmlformats.org/officeDocument/2006/relationships/hyperlink" Target="https://optovikufa.ru/product/173278/usb-hub-smartbuy-sbha-6900-w-4-porta-white/" TargetMode="External"/><Relationship Id="rId_hyperlink_710" Type="http://schemas.openxmlformats.org/officeDocument/2006/relationships/hyperlink" Target="https://optovikufa.ru/product/227500/usb-hub-smartbuy-sbha-7207-b-7-portov-s-vyklyuchatelem-chernyy-superekonom/" TargetMode="External"/><Relationship Id="rId_hyperlink_711" Type="http://schemas.openxmlformats.org/officeDocument/2006/relationships/hyperlink" Target="https://optovikufa.ru/product/227499/usb-hub-smartbuy-sbha-7207-w-7-portov-s-vyklyuchatelem-belyy-superekonom/" TargetMode="External"/><Relationship Id="rId_hyperlink_712" Type="http://schemas.openxmlformats.org/officeDocument/2006/relationships/hyperlink" Target="https://optovikufa.ru/product/240689/usb-hub-smartbuy-sbha-7304-b-4-porta-s-vyklyuchatelem-chernyy-superekonom/" TargetMode="External"/><Relationship Id="rId_hyperlink_713" Type="http://schemas.openxmlformats.org/officeDocument/2006/relationships/hyperlink" Target="https://optovikufa.ru/product/236112/usb-hub-smartbuy-sbha-7304-w-4-porta-s-vyklyuchatelem-belyy-superekonom/" TargetMode="External"/><Relationship Id="rId_hyperlink_714" Type="http://schemas.openxmlformats.org/officeDocument/2006/relationships/hyperlink" Target="https://optovikufa.ru/product/236113/usb-hub-smartbuy-sbha-7307-b-7-portov-s-vyklyuchatelem-chernyy/" TargetMode="External"/><Relationship Id="rId_hyperlink_715" Type="http://schemas.openxmlformats.org/officeDocument/2006/relationships/hyperlink" Target="https://optovikufa.ru/product/228695/usb-hub-smartbuy-sbha-7307-w-7-portov-s-vyklyuchatelem-belyy/" TargetMode="External"/><Relationship Id="rId_hyperlink_716" Type="http://schemas.openxmlformats.org/officeDocument/2006/relationships/hyperlink" Target="https://optovikufa.ru/product/240691/usb-hub-smartbuy-sbha-7314-b-4-porta-kruglyy-chernyy-superekonom/" TargetMode="External"/><Relationship Id="rId_hyperlink_717" Type="http://schemas.openxmlformats.org/officeDocument/2006/relationships/hyperlink" Target="https://optovikufa.ru/product/240690/usb-hub-smartbuy-sbha-7314-w-4-porta-kruglyy-belyy-superekonom/" TargetMode="External"/><Relationship Id="rId_hyperlink_718" Type="http://schemas.openxmlformats.org/officeDocument/2006/relationships/hyperlink" Target="https://optovikufa.ru/product/149347/klaviatura-besprovodnaya-perfeo-pf-8006-compact-usb-chernaya/" TargetMode="External"/><Relationship Id="rId_hyperlink_719" Type="http://schemas.openxmlformats.org/officeDocument/2006/relationships/hyperlink" Target="https://optovikufa.ru/product/221082/komplekt-klaviatura-mysh-smartbuy-one-235380ag-chernyy-sbc-235380ag-k/" TargetMode="External"/><Relationship Id="rId_hyperlink_720" Type="http://schemas.openxmlformats.org/officeDocument/2006/relationships/hyperlink" Target="https://optovikufa.ru/product/220442/nabor-besprovodnoy-smartbuy-230346ag-cherno-seryy-sbc-230346ag-kg/" TargetMode="External"/><Relationship Id="rId_hyperlink_721" Type="http://schemas.openxmlformats.org/officeDocument/2006/relationships/hyperlink" Target="https://optovikufa.ru/product/220443/nabor-besprovodnoy-smartbuy-230346ag-chernyy-sbc-230346ag-k/" TargetMode="External"/><Relationship Id="rId_hyperlink_722" Type="http://schemas.openxmlformats.org/officeDocument/2006/relationships/hyperlink" Target="https://optovikufa.ru/product/225019/nabor-besprovodnoy-smartbuy-639391ag-black-sbc-639391ag-k/" TargetMode="External"/><Relationship Id="rId_hyperlink_723" Type="http://schemas.openxmlformats.org/officeDocument/2006/relationships/hyperlink" Target="https://optovikufa.ru/product/222735/nabor-besprovodnoy-smartbuy-one-236374ag-black-sbc-236374ag-k/" TargetMode="External"/><Relationship Id="rId_hyperlink_724" Type="http://schemas.openxmlformats.org/officeDocument/2006/relationships/hyperlink" Target="https://optovikufa.ru/product/228038/klaviatura-igrovaya-multimediynaya-smartbuy-rush-raven-200-usb-black-sbk-200gu-k/" TargetMode="External"/><Relationship Id="rId_hyperlink_725" Type="http://schemas.openxmlformats.org/officeDocument/2006/relationships/hyperlink" Target="https://optovikufa.ru/product/145107/klaviatura-igrovaya-provodnaya-defender-legion-gk-010dl-rgb-podsvetka-anti-ghost/" TargetMode="External"/><Relationship Id="rId_hyperlink_726" Type="http://schemas.openxmlformats.org/officeDocument/2006/relationships/hyperlink" Target="https://optovikufa.ru/product/222603/klaviatura-igrovaya-provodnaya-smartbuy-rush-savage-311-usb-black-sbk-311g-k/" TargetMode="External"/><Relationship Id="rId_hyperlink_727" Type="http://schemas.openxmlformats.org/officeDocument/2006/relationships/hyperlink" Target="https://optovikufa.ru/product/221081/klaviatura-igrovaya-provodnaya-smartbuy-rush-warrior-308-usb-black-sbk-308g-k/" TargetMode="External"/><Relationship Id="rId_hyperlink_728" Type="http://schemas.openxmlformats.org/officeDocument/2006/relationships/hyperlink" Target="https://optovikufa.ru/product/233934/klaviatura-provodnaya-defender-element-hb-719-usbchernaya/" TargetMode="External"/><Relationship Id="rId_hyperlink_729" Type="http://schemas.openxmlformats.org/officeDocument/2006/relationships/hyperlink" Target="https://optovikufa.ru/product/233905/klaviatura-provodnaya-defender-next-hb-440-ruchernyypolnorazmernaya/" TargetMode="External"/><Relationship Id="rId_hyperlink_730" Type="http://schemas.openxmlformats.org/officeDocument/2006/relationships/hyperlink" Target="https://optovikufa.ru/product/151639/klaviatura-provodnaya-dialog-ks-030u-standart-usb-chernaya-c-krasnymi-igrovymi-klavishami/" TargetMode="External"/><Relationship Id="rId_hyperlink_731" Type="http://schemas.openxmlformats.org/officeDocument/2006/relationships/hyperlink" Target="https://optovikufa.ru/product/169399/klaviatura-provodnaya-perfeo-domino-usb-chernaya-pf-8801/" TargetMode="External"/><Relationship Id="rId_hyperlink_732" Type="http://schemas.openxmlformats.org/officeDocument/2006/relationships/hyperlink" Target="https://optovikufa.ru/product/169400/klaviatura-provodnaya-perfeo-pyramid-multimedia-usb-chernaya-pf-8005/" TargetMode="External"/><Relationship Id="rId_hyperlink_733" Type="http://schemas.openxmlformats.org/officeDocument/2006/relationships/hyperlink" Target="https://optovikufa.ru/product/178066/klaviatura-provodnaya-ritmix-rkb-121-usb-chernaya-107-klavish/" TargetMode="External"/><Relationship Id="rId_hyperlink_734" Type="http://schemas.openxmlformats.org/officeDocument/2006/relationships/hyperlink" Target="https://optovikufa.ru/product/178067/klaviatura-provodnaya-ritmix-rkb-141-usb-chernaya-multimediynaya-116-klavish/" TargetMode="External"/><Relationship Id="rId_hyperlink_735" Type="http://schemas.openxmlformats.org/officeDocument/2006/relationships/hyperlink" Target="https://optovikufa.ru/product/152083/klaviatura-provodnaya-smartbuy-one-112-usb-black/" TargetMode="External"/><Relationship Id="rId_hyperlink_736" Type="http://schemas.openxmlformats.org/officeDocument/2006/relationships/hyperlink" Target="https://optovikufa.ru/product/231813/klaviatura-provodnaya-smartbuy-one-114-usb-black/" TargetMode="External"/><Relationship Id="rId_hyperlink_737" Type="http://schemas.openxmlformats.org/officeDocument/2006/relationships/hyperlink" Target="https://optovikufa.ru/product/225478/klaviatura-provodnaya-smartbuy-one-115-usb-black/" TargetMode="External"/><Relationship Id="rId_hyperlink_738" Type="http://schemas.openxmlformats.org/officeDocument/2006/relationships/hyperlink" Target="https://optovikufa.ru/product/236266/klaviatura-provodnaya-smartbuy-one-210-usb-black/" TargetMode="External"/><Relationship Id="rId_hyperlink_739" Type="http://schemas.openxmlformats.org/officeDocument/2006/relationships/hyperlink" Target="https://optovikufa.ru/product/125169/klaviatura-provodnaya-smartbuy-one-221-usb-chernaya-s-sinimi-igrovymi-klavishami/" TargetMode="External"/><Relationship Id="rId_hyperlink_740" Type="http://schemas.openxmlformats.org/officeDocument/2006/relationships/hyperlink" Target="https://optovikufa.ru/product/225479/klaviatura-provodnaya-smartbuy-multimediynaya-238-belaya-sbk-238u-w/" TargetMode="External"/><Relationship Id="rId_hyperlink_741" Type="http://schemas.openxmlformats.org/officeDocument/2006/relationships/hyperlink" Target="https://optovikufa.ru/product/225480/klaviatura-provodnaya-smartbuy-multimediynaya-238-chernaya-sbk-238u-k/" TargetMode="External"/><Relationship Id="rId_hyperlink_742" Type="http://schemas.openxmlformats.org/officeDocument/2006/relationships/hyperlink" Target="https://optovikufa.ru/product/217386/klaviatura-provodnaya-smartbuy-multimediynaya-305-usb-s-podsvetkoy-belaya-sbk-305u-w/" TargetMode="External"/><Relationship Id="rId_hyperlink_743" Type="http://schemas.openxmlformats.org/officeDocument/2006/relationships/hyperlink" Target="https://optovikufa.ru/product/220009/klaviatura-provodnaya-smartbuy-multimediynaya-328-usb-s-podsvetkoy-chernaya-sbk-328u-k/" TargetMode="External"/><Relationship Id="rId_hyperlink_744" Type="http://schemas.openxmlformats.org/officeDocument/2006/relationships/hyperlink" Target="https://optovikufa.ru/product/125170/klaviatura-provodnaya-smartbuy-multimediynaya-333-usb-s-podsvetkoy-belaya-sbk-333u-w/" TargetMode="External"/><Relationship Id="rId_hyperlink_745" Type="http://schemas.openxmlformats.org/officeDocument/2006/relationships/hyperlink" Target="https://optovikufa.ru/product/125171/klaviatura-provodnaya-smartbuy-multimediynaya-333-usb-s-podsvetkoy-belo-chernaya-sbk-333u-w-k/" TargetMode="External"/><Relationship Id="rId_hyperlink_746" Type="http://schemas.openxmlformats.org/officeDocument/2006/relationships/hyperlink" Target="https://optovikufa.ru/product/225481/klaviatura-provodnaya-smartbuy-multimediynaya-s-podsvetkoy-240-chernaya-sbk-240u-k/" TargetMode="External"/><Relationship Id="rId_hyperlink_747" Type="http://schemas.openxmlformats.org/officeDocument/2006/relationships/hyperlink" Target="https://optovikufa.ru/product/149607/klaviatura-provodnaya-gibkaya-silikonovaya-dialog-kfx-03u-chernyy-usb-chernaya/" TargetMode="External"/><Relationship Id="rId_hyperlink_748" Type="http://schemas.openxmlformats.org/officeDocument/2006/relationships/hyperlink" Target="https://optovikufa.ru/product/242858/nakleyka-shrift-dlya-klaviatury-d2-tech-sf-01b-russkiy-shrift-siniy-cvet-na-prozrachnom-fone/" TargetMode="External"/><Relationship Id="rId_hyperlink_749" Type="http://schemas.openxmlformats.org/officeDocument/2006/relationships/hyperlink" Target="https://optovikufa.ru/product/242859/nakleyka-shrift-dlya-klaviatury-d2-tech-sf-01r-russkiy-shrift-krasnyy-cvet-na-prozrachnom-fone/" TargetMode="External"/><Relationship Id="rId_hyperlink_750" Type="http://schemas.openxmlformats.org/officeDocument/2006/relationships/hyperlink" Target="https://optovikufa.ru/product/242861/nakleyka-shrift-dlya-klaviatury-d2-tech-sf-02yw-russkiy-i-angliyskiy-shrift-zheltyy-i-belyy-cvet-na-chernom-fone/" TargetMode="External"/><Relationship Id="rId_hyperlink_751" Type="http://schemas.openxmlformats.org/officeDocument/2006/relationships/hyperlink" Target="https://optovikufa.ru/product/134507/mikrofon-defender-mic-117-nastolnyy-na-gibkom-osnovanii-chernyy/" TargetMode="External"/><Relationship Id="rId_hyperlink_752" Type="http://schemas.openxmlformats.org/officeDocument/2006/relationships/hyperlink" Target="https://optovikufa.ru/product/242523/mikrofon-petlichnyy-dlya-kompyutera-shteker-jack-35-mm-3pin-dlina-15-m-kreplenie-na-odezhdu/" TargetMode="External"/><Relationship Id="rId_hyperlink_753" Type="http://schemas.openxmlformats.org/officeDocument/2006/relationships/hyperlink" Target="https://optovikufa.ru/product/241856/mysh-besprovodnaya-borofone-bg4-belaya/" TargetMode="External"/><Relationship Id="rId_hyperlink_754" Type="http://schemas.openxmlformats.org/officeDocument/2006/relationships/hyperlink" Target="https://optovikufa.ru/product/241858/mysh-besprovodnaya-borofone-bg5-belaya/" TargetMode="External"/><Relationship Id="rId_hyperlink_755" Type="http://schemas.openxmlformats.org/officeDocument/2006/relationships/hyperlink" Target="https://optovikufa.ru/product/241859/mysh-besprovodnaya-borofone-bg7-belaya/" TargetMode="External"/><Relationship Id="rId_hyperlink_756" Type="http://schemas.openxmlformats.org/officeDocument/2006/relationships/hyperlink" Target="https://optovikufa.ru/product/140740/mysh-besprovodnaya-defender-accura-mm-275-krasnyy/" TargetMode="External"/><Relationship Id="rId_hyperlink_757" Type="http://schemas.openxmlformats.org/officeDocument/2006/relationships/hyperlink" Target="https://optovikufa.ru/product/125570/mysh-besprovodnaya-defender-accura-mm-365-krasnyy/" TargetMode="External"/><Relationship Id="rId_hyperlink_758" Type="http://schemas.openxmlformats.org/officeDocument/2006/relationships/hyperlink" Target="https://optovikufa.ru/product/125569/mysh-besprovodnaya-defender-accura-mm-365-siniy/" TargetMode="External"/><Relationship Id="rId_hyperlink_759" Type="http://schemas.openxmlformats.org/officeDocument/2006/relationships/hyperlink" Target="https://optovikufa.ru/product/125568/mysh-besprovodnaya-defender-accura-mm-365-chernyy/" TargetMode="External"/><Relationship Id="rId_hyperlink_760" Type="http://schemas.openxmlformats.org/officeDocument/2006/relationships/hyperlink" Target="https://optovikufa.ru/product/169524/mysh-besprovodnaya-defender-accura-mm-665-krasnyy-6-knopok/" TargetMode="External"/><Relationship Id="rId_hyperlink_761" Type="http://schemas.openxmlformats.org/officeDocument/2006/relationships/hyperlink" Target="https://optovikufa.ru/product/169522/mysh-besprovodnaya-defender-accura-mm-665-seraya-6-knopok/" TargetMode="External"/><Relationship Id="rId_hyperlink_762" Type="http://schemas.openxmlformats.org/officeDocument/2006/relationships/hyperlink" Target="https://optovikufa.ru/product/169523/mysh-besprovodnaya-defender-accura-mm-665-siniy-6-knopok/" TargetMode="External"/><Relationship Id="rId_hyperlink_763" Type="http://schemas.openxmlformats.org/officeDocument/2006/relationships/hyperlink" Target="https://optovikufa.ru/product/151617/mysh-besprovodnaya-defender-accura-mm-965-6-knkrasnaya/" TargetMode="External"/><Relationship Id="rId_hyperlink_764" Type="http://schemas.openxmlformats.org/officeDocument/2006/relationships/hyperlink" Target="https://optovikufa.ru/product/239684/mysh-besprovodnaya-defender-auris-mb-027-800-1600dpi-besshumn-krasnyy/" TargetMode="External"/><Relationship Id="rId_hyperlink_765" Type="http://schemas.openxmlformats.org/officeDocument/2006/relationships/hyperlink" Target="https://optovikufa.ru/product/125566/mysh-besprovodnaya-defender-datum-mb-345-chernyy/" TargetMode="External"/><Relationship Id="rId_hyperlink_766" Type="http://schemas.openxmlformats.org/officeDocument/2006/relationships/hyperlink" Target="https://optovikufa.ru/product/240968/mysh-besprovodnaya-defender-effect-x-ms-095-800-1600dpi-besshumn-chernyy/" TargetMode="External"/><Relationship Id="rId_hyperlink_767" Type="http://schemas.openxmlformats.org/officeDocument/2006/relationships/hyperlink" Target="https://optovikufa.ru/product/167484/mysh-besprovodnaya-defender-mm-605-3-knopok1200dpi-usb-zelenyy/" TargetMode="External"/><Relationship Id="rId_hyperlink_768" Type="http://schemas.openxmlformats.org/officeDocument/2006/relationships/hyperlink" Target="https://optovikufa.ru/product/167482/mysh-besprovodnaya-defender-mm-605-3-knopok1200dpi-usb-krasnyy/" TargetMode="External"/><Relationship Id="rId_hyperlink_769" Type="http://schemas.openxmlformats.org/officeDocument/2006/relationships/hyperlink" Target="https://optovikufa.ru/product/167483/mysh-besprovodnaya-defender-mm-605-3-knopok1200dpi-usb-siniy/" TargetMode="External"/><Relationship Id="rId_hyperlink_770" Type="http://schemas.openxmlformats.org/officeDocument/2006/relationships/hyperlink" Target="https://optovikufa.ru/product/240970/mysh-besprovodnaya-defender-modern-mb-985-800-1600dpi-besshumn-chernyy/" TargetMode="External"/><Relationship Id="rId_hyperlink_771" Type="http://schemas.openxmlformats.org/officeDocument/2006/relationships/hyperlink" Target="https://optovikufa.ru/product/240967/mysh-besprovodnaya-defender-prime-mb-053-800-1600dpi-besshumn-chernyy/" TargetMode="External"/><Relationship Id="rId_hyperlink_772" Type="http://schemas.openxmlformats.org/officeDocument/2006/relationships/hyperlink" Target="https://optovikufa.ru/product/239690/mysh-besprovodnaya-defender-wave-mm-995-800-1600dpi-besshumn-zoloto/" TargetMode="External"/><Relationship Id="rId_hyperlink_773" Type="http://schemas.openxmlformats.org/officeDocument/2006/relationships/hyperlink" Target="https://optovikufa.ru/product/239689/mysh-besprovodnaya-defender-wave-mm-995-800-1600dpi-besshumn-seryy/" TargetMode="External"/><Relationship Id="rId_hyperlink_774" Type="http://schemas.openxmlformats.org/officeDocument/2006/relationships/hyperlink" Target="https://optovikufa.ru/product/220024/mysh-besprovodnaya-perfeo-daily-seryy-metallik/" TargetMode="External"/><Relationship Id="rId_hyperlink_775" Type="http://schemas.openxmlformats.org/officeDocument/2006/relationships/hyperlink" Target="https://optovikufa.ru/product/220615/mysh-besprovodnaya-perfeo-vertex-chernyy-serebro/" TargetMode="External"/><Relationship Id="rId_hyperlink_776" Type="http://schemas.openxmlformats.org/officeDocument/2006/relationships/hyperlink" Target="https://optovikufa.ru/product/241780/mysh-besprovodnaya-smartbuy-266ag-rozrvyy-gradient/" TargetMode="External"/><Relationship Id="rId_hyperlink_777" Type="http://schemas.openxmlformats.org/officeDocument/2006/relationships/hyperlink" Target="https://optovikufa.ru/product/241781/mysh-besprovodnaya-smartbuy-266ag-fioletovyy-gradient/" TargetMode="External"/><Relationship Id="rId_hyperlink_778" Type="http://schemas.openxmlformats.org/officeDocument/2006/relationships/hyperlink" Target="https://optovikufa.ru/product/241782/mysh-besprovodnaya-smartbuy-266ag-chernaya-gradient/" TargetMode="External"/><Relationship Id="rId_hyperlink_779" Type="http://schemas.openxmlformats.org/officeDocument/2006/relationships/hyperlink" Target="https://optovikufa.ru/product/242914/mysh-besprovodnaya-smartbuy-282ag-chernaya-bezzvuchnaya/" TargetMode="External"/><Relationship Id="rId_hyperlink_780" Type="http://schemas.openxmlformats.org/officeDocument/2006/relationships/hyperlink" Target="https://optovikufa.ru/product/148415/mysh-besprovodnaya-smartbuy-309ag-pink/" TargetMode="External"/><Relationship Id="rId_hyperlink_781" Type="http://schemas.openxmlformats.org/officeDocument/2006/relationships/hyperlink" Target="https://optovikufa.ru/product/174644/mysh-besprovodnaya-smartbuy-309ag-purple/" TargetMode="External"/><Relationship Id="rId_hyperlink_782" Type="http://schemas.openxmlformats.org/officeDocument/2006/relationships/hyperlink" Target="https://optovikufa.ru/product/173402/mysh-besprovodnaya-smartbuy-314ag-seryy-metallik-blue-led-bezzvuchnaya/" TargetMode="External"/><Relationship Id="rId_hyperlink_783" Type="http://schemas.openxmlformats.org/officeDocument/2006/relationships/hyperlink" Target="https://optovikufa.ru/product/173383/mysh-besprovodnaya-smartbuy-325ag-3-kpopki-1000dpi-usb-zhelto-chernaya/" TargetMode="External"/><Relationship Id="rId_hyperlink_784" Type="http://schemas.openxmlformats.org/officeDocument/2006/relationships/hyperlink" Target="https://optovikufa.ru/product/173382/mysh-besprovodnaya-smartbuy-325ag-3-kpopki-1000dpi-usb-krasnaya/" TargetMode="External"/><Relationship Id="rId_hyperlink_785" Type="http://schemas.openxmlformats.org/officeDocument/2006/relationships/hyperlink" Target="https://optovikufa.ru/product/174630/mysh-besprovodnaya-smartbuy-325ag-3-kpopki-1000dpi-usb-sinyaya/" TargetMode="External"/><Relationship Id="rId_hyperlink_786" Type="http://schemas.openxmlformats.org/officeDocument/2006/relationships/hyperlink" Target="https://optovikufa.ru/product/173395/mysh-besprovodnaya-smartbuy-356ag-bluewhite/" TargetMode="External"/><Relationship Id="rId_hyperlink_787" Type="http://schemas.openxmlformats.org/officeDocument/2006/relationships/hyperlink" Target="https://optovikufa.ru/product/222409/mysh-besprovodnaya-smartbuy-508-bordo/" TargetMode="External"/><Relationship Id="rId_hyperlink_788" Type="http://schemas.openxmlformats.org/officeDocument/2006/relationships/hyperlink" Target="https://optovikufa.ru/product/173397/mysh-besprovodnaya-smartbuy-601ag-gray/" TargetMode="External"/><Relationship Id="rId_hyperlink_789" Type="http://schemas.openxmlformats.org/officeDocument/2006/relationships/hyperlink" Target="https://optovikufa.ru/product/242915/mysh-besprovodnaya-smartbuy-611ag-lilovaya-bezzvuchnaya/" TargetMode="External"/><Relationship Id="rId_hyperlink_790" Type="http://schemas.openxmlformats.org/officeDocument/2006/relationships/hyperlink" Target="https://optovikufa.ru/product/164743/mysh-besprovodnaya-smartbuy-613ag-purpleblack/" TargetMode="External"/><Relationship Id="rId_hyperlink_791" Type="http://schemas.openxmlformats.org/officeDocument/2006/relationships/hyperlink" Target="https://optovikufa.ru/product/164744/mysh-besprovodnaya-smartbuy-613ag-redblack/" TargetMode="External"/><Relationship Id="rId_hyperlink_792" Type="http://schemas.openxmlformats.org/officeDocument/2006/relationships/hyperlink" Target="https://optovikufa.ru/product/222412/mysh-besprovodnaya-smartbuy-one-200-krasnyy/" TargetMode="External"/><Relationship Id="rId_hyperlink_793" Type="http://schemas.openxmlformats.org/officeDocument/2006/relationships/hyperlink" Target="https://optovikufa.ru/product/222413/mysh-besprovodnaya-smartbuy-one-200-seryy/" TargetMode="External"/><Relationship Id="rId_hyperlink_794" Type="http://schemas.openxmlformats.org/officeDocument/2006/relationships/hyperlink" Target="https://optovikufa.ru/product/222414/mysh-besprovodnaya-smartbuy-one-200-siniy/" TargetMode="External"/><Relationship Id="rId_hyperlink_795" Type="http://schemas.openxmlformats.org/officeDocument/2006/relationships/hyperlink" Target="https://optovikufa.ru/product/222415/mysh-besprovodnaya-smartbuy-one-200-chernyy/" TargetMode="External"/><Relationship Id="rId_hyperlink_796" Type="http://schemas.openxmlformats.org/officeDocument/2006/relationships/hyperlink" Target="https://optovikufa.ru/product/221468/mysh-besprovodnaya-smartbuy-one-300ag-k-chernaya/" TargetMode="External"/><Relationship Id="rId_hyperlink_797" Type="http://schemas.openxmlformats.org/officeDocument/2006/relationships/hyperlink" Target="https://optovikufa.ru/product/238118/mysh-besprovodnaya-smartbuy-one-303ag-k-chernaya/" TargetMode="External"/><Relationship Id="rId_hyperlink_798" Type="http://schemas.openxmlformats.org/officeDocument/2006/relationships/hyperlink" Target="https://optovikufa.ru/product/146417/mysh-besprovodnaya-smartbuy-one-329-chernaya/" TargetMode="External"/><Relationship Id="rId_hyperlink_799" Type="http://schemas.openxmlformats.org/officeDocument/2006/relationships/hyperlink" Target="https://optovikufa.ru/product/227522/mysh-besprovodnaya-smartbuy-one-332-krasnyy/" TargetMode="External"/><Relationship Id="rId_hyperlink_800" Type="http://schemas.openxmlformats.org/officeDocument/2006/relationships/hyperlink" Target="https://optovikufa.ru/product/227523/mysh-besprovodnaya-smartbuy-one-332-siniy/" TargetMode="External"/><Relationship Id="rId_hyperlink_801" Type="http://schemas.openxmlformats.org/officeDocument/2006/relationships/hyperlink" Target="https://optovikufa.ru/product/227524/mysh-besprovodnaya-smartbuy-one-332-chernyy/" TargetMode="External"/><Relationship Id="rId_hyperlink_802" Type="http://schemas.openxmlformats.org/officeDocument/2006/relationships/hyperlink" Target="https://optovikufa.ru/product/219120/mysh-besprovodnaya-smartbuy-one-333ag-belaya/" TargetMode="External"/><Relationship Id="rId_hyperlink_803" Type="http://schemas.openxmlformats.org/officeDocument/2006/relationships/hyperlink" Target="https://optovikufa.ru/product/219119/mysh-besprovodnaya-smartbuy-one-333ag-chernaya/" TargetMode="External"/><Relationship Id="rId_hyperlink_804" Type="http://schemas.openxmlformats.org/officeDocument/2006/relationships/hyperlink" Target="https://optovikufa.ru/product/165375/mysh-besprovodnaya-smartbuy-one-340ag-4-kpopki-1000dpi-usb-chernaya/" TargetMode="External"/><Relationship Id="rId_hyperlink_805" Type="http://schemas.openxmlformats.org/officeDocument/2006/relationships/hyperlink" Target="https://optovikufa.ru/product/127616/mysh-besprovodnaya-smartbuy-one-340ag-cn-4-kpopki-1000dpi-usb-biryuzovaya/" TargetMode="External"/><Relationship Id="rId_hyperlink_806" Type="http://schemas.openxmlformats.org/officeDocument/2006/relationships/hyperlink" Target="https://optovikufa.ru/product/127617/mysh-besprovodnaya-smartbuy-one-340ag-m-4-kpopki-1000dpi-usb-bordovaya/" TargetMode="External"/><Relationship Id="rId_hyperlink_807" Type="http://schemas.openxmlformats.org/officeDocument/2006/relationships/hyperlink" Target="https://optovikufa.ru/product/127615/mysh-besprovodnaya-smartbuy-one-340ag-w-4-kpopki-1000dpi-usb-belaya/" TargetMode="External"/><Relationship Id="rId_hyperlink_808" Type="http://schemas.openxmlformats.org/officeDocument/2006/relationships/hyperlink" Target="https://optovikufa.ru/product/165376/mysh-besprovodnaya-smartbuy-one-341ag-3-kpopki-1000dpi-usb-chernaya/" TargetMode="External"/><Relationship Id="rId_hyperlink_809" Type="http://schemas.openxmlformats.org/officeDocument/2006/relationships/hyperlink" Target="https://optovikufa.ru/product/168408/mysh-besprovodnaya-smartbuy-one-344cag-s-zaryadkoy-ot-usb-cherno-krasnaya/" TargetMode="External"/><Relationship Id="rId_hyperlink_810" Type="http://schemas.openxmlformats.org/officeDocument/2006/relationships/hyperlink" Target="https://optovikufa.ru/product/168407/mysh-besprovodnaya-smartbuy-one-344cag-s-zaryadkoy-ot-usb-belo-seraya/" TargetMode="External"/><Relationship Id="rId_hyperlink_811" Type="http://schemas.openxmlformats.org/officeDocument/2006/relationships/hyperlink" Target="https://optovikufa.ru/product/219121/mysh-besprovodnaya-smartbuy-one-352-belaya/" TargetMode="External"/><Relationship Id="rId_hyperlink_812" Type="http://schemas.openxmlformats.org/officeDocument/2006/relationships/hyperlink" Target="https://optovikufa.ru/product/161160/mysh-besprovodnaya-smartbuy-one-352-chernaya/" TargetMode="External"/><Relationship Id="rId_hyperlink_813" Type="http://schemas.openxmlformats.org/officeDocument/2006/relationships/hyperlink" Target="https://optovikufa.ru/product/161157/mysh-besprovodnaya-smartbuy-one-352-cherno-zelenaya/" TargetMode="External"/><Relationship Id="rId_hyperlink_814" Type="http://schemas.openxmlformats.org/officeDocument/2006/relationships/hyperlink" Target="https://optovikufa.ru/product/161158/mysh-besprovodnaya-smartbuy-one-352-cherno-krasnaya-sbm-352ag-rk/" TargetMode="External"/><Relationship Id="rId_hyperlink_815" Type="http://schemas.openxmlformats.org/officeDocument/2006/relationships/hyperlink" Target="https://optovikufa.ru/product/161159/mysh-besprovodnaya-smartbuy-one-352-cherno-sinyaya-sbm-352ag-bk/" TargetMode="External"/><Relationship Id="rId_hyperlink_816" Type="http://schemas.openxmlformats.org/officeDocument/2006/relationships/hyperlink" Target="https://optovikufa.ru/product/146419/mysh-besprovodnaya-smartbuy-one-358-chernaya-sbm-358ag-k/" TargetMode="External"/><Relationship Id="rId_hyperlink_817" Type="http://schemas.openxmlformats.org/officeDocument/2006/relationships/hyperlink" Target="https://optovikufa.ru/product/219587/mysh-besprovodnaya-smartbuy-one-368ag-blueblack/" TargetMode="External"/><Relationship Id="rId_hyperlink_818" Type="http://schemas.openxmlformats.org/officeDocument/2006/relationships/hyperlink" Target="https://optovikufa.ru/product/219586/mysh-besprovodnaya-smartbuy-one-368ag-grayblack/" TargetMode="External"/><Relationship Id="rId_hyperlink_819" Type="http://schemas.openxmlformats.org/officeDocument/2006/relationships/hyperlink" Target="https://optovikufa.ru/product/219585/mysh-besprovodnaya-smartbuy-one-368ag-cherno-krasnaya/" TargetMode="External"/><Relationship Id="rId_hyperlink_820" Type="http://schemas.openxmlformats.org/officeDocument/2006/relationships/hyperlink" Target="https://optovikufa.ru/product/225928/mysh-besprovodnaya-smartbuy-one-378ag-sinyaya/" TargetMode="External"/><Relationship Id="rId_hyperlink_821" Type="http://schemas.openxmlformats.org/officeDocument/2006/relationships/hyperlink" Target="https://optovikufa.ru/product/225924/mysh-besprovodnaya-smartbuy-bezzvuchnaya-one-262ag-o-bronza/" TargetMode="External"/><Relationship Id="rId_hyperlink_822" Type="http://schemas.openxmlformats.org/officeDocument/2006/relationships/hyperlink" Target="https://optovikufa.ru/product/236778/mysh-igrovaya-besprovodnaya-defender-oneshot-gm-067-optika6knopok800-3200dpi/" TargetMode="External"/><Relationship Id="rId_hyperlink_823" Type="http://schemas.openxmlformats.org/officeDocument/2006/relationships/hyperlink" Target="https://optovikufa.ru/product/224945/mysh-igrovaya-besprovodnaya-dialog-mrgk-12ur-gan-kata-6-knopokrolik-prokrutki-usb-chernaya/" TargetMode="External"/><Relationship Id="rId_hyperlink_824" Type="http://schemas.openxmlformats.org/officeDocument/2006/relationships/hyperlink" Target="https://optovikufa.ru/product/158581/mysh-igrovaya-besprovodnaya-nakatomi-mrog-20ur/" TargetMode="External"/><Relationship Id="rId_hyperlink_825" Type="http://schemas.openxmlformats.org/officeDocument/2006/relationships/hyperlink" Target="https://optovikufa.ru/product/226225/mysh-igrovaya-provodnaya-defender-titan-gm-650l-6-kn-6400-dpi/" TargetMode="External"/><Relationship Id="rId_hyperlink_826" Type="http://schemas.openxmlformats.org/officeDocument/2006/relationships/hyperlink" Target="https://optovikufa.ru/product/146443/mysh-igrovaya-provodnaya-smartbuy-rush-712-chernaya-sbm-712g-k/" TargetMode="External"/><Relationship Id="rId_hyperlink_827" Type="http://schemas.openxmlformats.org/officeDocument/2006/relationships/hyperlink" Target="https://optovikufa.ru/product/225022/mysh-igrovaya-provodnaya-smartbuy-rush-730-chernaya-kovrik-sbm-730g-k/" TargetMode="External"/><Relationship Id="rId_hyperlink_828" Type="http://schemas.openxmlformats.org/officeDocument/2006/relationships/hyperlink" Target="https://optovikufa.ru/product/225486/mysh-igrovaya-provodnaya-smartbuy-rush-phantom-713-metall-sbm-713g-g/" TargetMode="External"/><Relationship Id="rId_hyperlink_829" Type="http://schemas.openxmlformats.org/officeDocument/2006/relationships/hyperlink" Target="https://optovikufa.ru/product/225021/mysh-igrovaya-provodnaya-smartbuy-rush-storm-916-chernaya-sbm-916g-k/" TargetMode="External"/><Relationship Id="rId_hyperlink_830" Type="http://schemas.openxmlformats.org/officeDocument/2006/relationships/hyperlink" Target="https://optovikufa.ru/product/223876/mysh-igrovaya-provodnaya-smartbuy-rush-zombie-721-chernyy-sbm-721g-k/" TargetMode="External"/><Relationship Id="rId_hyperlink_831" Type="http://schemas.openxmlformats.org/officeDocument/2006/relationships/hyperlink" Target="https://optovikufa.ru/product/240701/kovrik-kompyuternyy-smartbuy-baloon-s-size-sbmp-105-bn/" TargetMode="External"/><Relationship Id="rId_hyperlink_832" Type="http://schemas.openxmlformats.org/officeDocument/2006/relationships/hyperlink" Target="https://optovikufa.ru/product/229495/kovrik-kompyuternyy-igrovoy-smartbuy-rush-allure-sbmp-18g-al/" TargetMode="External"/><Relationship Id="rId_hyperlink_833" Type="http://schemas.openxmlformats.org/officeDocument/2006/relationships/hyperlink" Target="https://optovikufa.ru/product/240693/kovrik-kompyuternyy-igrovoy-smartbuy-rush-blackout-sbmp-s01g-k/" TargetMode="External"/><Relationship Id="rId_hyperlink_834" Type="http://schemas.openxmlformats.org/officeDocument/2006/relationships/hyperlink" Target="https://optovikufa.ru/product/229496/kovrik-kompyuternyy-igrovoy-smartbuy-rush-earth-sbmp-17g-ea/" TargetMode="External"/><Relationship Id="rId_hyperlink_835" Type="http://schemas.openxmlformats.org/officeDocument/2006/relationships/hyperlink" Target="https://optovikufa.ru/product/242485/kovrik-kompyuternyy-igrovoy-smartbuy-rush-enigma-sbmp-10g-en/" TargetMode="External"/><Relationship Id="rId_hyperlink_836" Type="http://schemas.openxmlformats.org/officeDocument/2006/relationships/hyperlink" Target="https://optovikufa.ru/product/229499/kovrik-kompyuternyy-igrovoy-smartbuy-rush-florena-sbmp-12g-fl/" TargetMode="External"/><Relationship Id="rId_hyperlink_837" Type="http://schemas.openxmlformats.org/officeDocument/2006/relationships/hyperlink" Target="https://optovikufa.ru/product/228719/kovrik-kompyuternyy-igrovoy-smartbuy-rush-gargo-sbmp-16g-ga/" TargetMode="External"/><Relationship Id="rId_hyperlink_838" Type="http://schemas.openxmlformats.org/officeDocument/2006/relationships/hyperlink" Target="https://optovikufa.ru/product/225923/kovrik-kompyuternyy-igrovoy-smartbuy-rush-robot-sbmp-03g-rb/" TargetMode="External"/><Relationship Id="rId_hyperlink_839" Type="http://schemas.openxmlformats.org/officeDocument/2006/relationships/hyperlink" Target="https://optovikufa.ru/product/229502/kovrik-kompyuternyy-igrovoy-smartbuy-rush-yeti-sbmp-19g-ye/" TargetMode="External"/><Relationship Id="rId_hyperlink_840" Type="http://schemas.openxmlformats.org/officeDocument/2006/relationships/hyperlink" Target="https://optovikufa.ru/product/228723/kovrik-kompyuternyy-igrovoy-smartbuy-rush-yin-yang-sbmp-14g-yy/" TargetMode="External"/><Relationship Id="rId_hyperlink_841" Type="http://schemas.openxmlformats.org/officeDocument/2006/relationships/hyperlink" Target="https://optovikufa.ru/product/236951/kovrik-kompyuternyy-f2-20x24sm-mig-35/" TargetMode="External"/><Relationship Id="rId_hyperlink_842" Type="http://schemas.openxmlformats.org/officeDocument/2006/relationships/hyperlink" Target="https://optovikufa.ru/product/236952/kovrik-kompyuternyy-f2-20x24sm-pubg-gidrocikl/" TargetMode="External"/><Relationship Id="rId_hyperlink_843" Type="http://schemas.openxmlformats.org/officeDocument/2006/relationships/hyperlink" Target="https://optovikufa.ru/product/235374/kovrik-kompyuternyy-g5-30x40sm-battlegrounds/" TargetMode="External"/><Relationship Id="rId_hyperlink_844" Type="http://schemas.openxmlformats.org/officeDocument/2006/relationships/hyperlink" Target="https://optovikufa.ru/product/235373/kovrik-kompyuternyy-g5-30x40sm-dota-victor/" TargetMode="External"/><Relationship Id="rId_hyperlink_845" Type="http://schemas.openxmlformats.org/officeDocument/2006/relationships/hyperlink" Target="https://optovikufa.ru/product/236968/kovrik-kompyuternyy-g5-30x40sm-position/" TargetMode="External"/><Relationship Id="rId_hyperlink_846" Type="http://schemas.openxmlformats.org/officeDocument/2006/relationships/hyperlink" Target="https://optovikufa.ru/product/236963/kovrik-kompyuternyy-g5-30x40sm-vrt/" TargetMode="External"/><Relationship Id="rId_hyperlink_847" Type="http://schemas.openxmlformats.org/officeDocument/2006/relationships/hyperlink" Target="https://optovikufa.ru/product/241023/kovrik-kompyuternyy-h8-25x29-dota2-tron/" TargetMode="External"/><Relationship Id="rId_hyperlink_848" Type="http://schemas.openxmlformats.org/officeDocument/2006/relationships/hyperlink" Target="https://optovikufa.ru/product/227618/kovrik-kompyuternyy-h8-25x29-lion/" TargetMode="External"/><Relationship Id="rId_hyperlink_849" Type="http://schemas.openxmlformats.org/officeDocument/2006/relationships/hyperlink" Target="https://optovikufa.ru/product/236973/kovrik-kompyuternyy-h8-25x29-pubg-girl/" TargetMode="External"/><Relationship Id="rId_hyperlink_850" Type="http://schemas.openxmlformats.org/officeDocument/2006/relationships/hyperlink" Target="https://optovikufa.ru/product/227613/kovrik-kompyuternyy-h8-25x29-pubg-revolver/" TargetMode="External"/><Relationship Id="rId_hyperlink_851" Type="http://schemas.openxmlformats.org/officeDocument/2006/relationships/hyperlink" Target="https://optovikufa.ru/product/227614/kovrik-kompyuternyy-h8-25x29-pubg-slem/" TargetMode="External"/><Relationship Id="rId_hyperlink_852" Type="http://schemas.openxmlformats.org/officeDocument/2006/relationships/hyperlink" Target="https://optovikufa.ru/product/235380/kovrik-kompyuternyy-h8-25x29-pubg-bayk/" TargetMode="External"/><Relationship Id="rId_hyperlink_853" Type="http://schemas.openxmlformats.org/officeDocument/2006/relationships/hyperlink" Target="https://optovikufa.ru/product/227615/kovrik-kompyuternyy-h8-25x29-pubg-zasada/" TargetMode="External"/><Relationship Id="rId_hyperlink_854" Type="http://schemas.openxmlformats.org/officeDocument/2006/relationships/hyperlink" Target="https://optovikufa.ru/product/235381/kovrik-kompyuternyy-h8-25x29-pubg-lobbi/" TargetMode="External"/><Relationship Id="rId_hyperlink_855" Type="http://schemas.openxmlformats.org/officeDocument/2006/relationships/hyperlink" Target="https://optovikufa.ru/product/227623/kovrik-kompyuternyy-h8-25x29-voin/" TargetMode="External"/><Relationship Id="rId_hyperlink_856" Type="http://schemas.openxmlformats.org/officeDocument/2006/relationships/hyperlink" Target="https://optovikufa.ru/product/235377/kovrik-kompyuternyy-h8-25x29-zil/" TargetMode="External"/><Relationship Id="rId_hyperlink_857" Type="http://schemas.openxmlformats.org/officeDocument/2006/relationships/hyperlink" Target="https://optovikufa.ru/product/241033/kovrik-kompyuternyy-k9-30x80-rztd/" TargetMode="External"/><Relationship Id="rId_hyperlink_858" Type="http://schemas.openxmlformats.org/officeDocument/2006/relationships/hyperlink" Target="https://optovikufa.ru/product/235385/kovrik-kompyuternyy-k9-30x80-naruto/" TargetMode="External"/><Relationship Id="rId_hyperlink_859" Type="http://schemas.openxmlformats.org/officeDocument/2006/relationships/hyperlink" Target="https://optovikufa.ru/product/241857/mysh-provodnaya-borofone-bg4-chernaya/" TargetMode="External"/><Relationship Id="rId_hyperlink_860" Type="http://schemas.openxmlformats.org/officeDocument/2006/relationships/hyperlink" Target="https://optovikufa.ru/product/226212/mysh-provodnaya-defender-accura-mm-362-chernyy/" TargetMode="External"/><Relationship Id="rId_hyperlink_861" Type="http://schemas.openxmlformats.org/officeDocument/2006/relationships/hyperlink" Target="https://optovikufa.ru/product/219067/mysh-provodnaya-defender-classic-mb-230/" TargetMode="External"/><Relationship Id="rId_hyperlink_862" Type="http://schemas.openxmlformats.org/officeDocument/2006/relationships/hyperlink" Target="https://optovikufa.ru/product/167637/mysh-provodnaya-defender-cyber-mb-560l-7cvetov-3kn-1200-dpi-chernaya/" TargetMode="External"/><Relationship Id="rId_hyperlink_863" Type="http://schemas.openxmlformats.org/officeDocument/2006/relationships/hyperlink" Target="https://optovikufa.ru/product/170292/mysh-provodnaya-defender-datum-ms-980-chernyy/" TargetMode="External"/><Relationship Id="rId_hyperlink_864" Type="http://schemas.openxmlformats.org/officeDocument/2006/relationships/hyperlink" Target="https://optovikufa.ru/product/231539/mysh-provodnaya-defender-dot-mb-986/" TargetMode="External"/><Relationship Id="rId_hyperlink_865" Type="http://schemas.openxmlformats.org/officeDocument/2006/relationships/hyperlink" Target="https://optovikufa.ru/product/220284/mysh-provodnaya-defender-guide-mb-751-chernyy3-knopok-1000-dpi/" TargetMode="External"/><Relationship Id="rId_hyperlink_866" Type="http://schemas.openxmlformats.org/officeDocument/2006/relationships/hyperlink" Target="https://optovikufa.ru/product/217148/mysh-provodnaya-defender-hit-mb-601l-podsvetka/" TargetMode="External"/><Relationship Id="rId_hyperlink_867" Type="http://schemas.openxmlformats.org/officeDocument/2006/relationships/hyperlink" Target="https://optovikufa.ru/product/229731/mysh-provodnaya-defender-mb-580-chernyy/" TargetMode="External"/><Relationship Id="rId_hyperlink_868" Type="http://schemas.openxmlformats.org/officeDocument/2006/relationships/hyperlink" Target="https://optovikufa.ru/product/131417/mysh-provodnaya-defender-mm-310-chernaya/" TargetMode="External"/><Relationship Id="rId_hyperlink_869" Type="http://schemas.openxmlformats.org/officeDocument/2006/relationships/hyperlink" Target="https://optovikufa.ru/product/124797/mysh-provodnaya-defender-mm-930-3kn-1200dpi/" TargetMode="External"/><Relationship Id="rId_hyperlink_870" Type="http://schemas.openxmlformats.org/officeDocument/2006/relationships/hyperlink" Target="https://optovikufa.ru/product/241733/mysh-provodnaya-defender-omega-mb-522-4-knopki-500-1600dpi-chernyy/" TargetMode="External"/><Relationship Id="rId_hyperlink_871" Type="http://schemas.openxmlformats.org/officeDocument/2006/relationships/hyperlink" Target="https://optovikufa.ru/product/220292/mysh-provodnaya-defender-ultra-gloss-mb-490-4-kn-1000-dpi-7-cvetov/" TargetMode="External"/><Relationship Id="rId_hyperlink_872" Type="http://schemas.openxmlformats.org/officeDocument/2006/relationships/hyperlink" Target="https://optovikufa.ru/product/231538/mysh-provodnaya-defender-ultra-host-mb-982-belyy/" TargetMode="External"/><Relationship Id="rId_hyperlink_873" Type="http://schemas.openxmlformats.org/officeDocument/2006/relationships/hyperlink" Target="https://optovikufa.ru/product/231537/mysh-provodnaya-defender-ultra-host-mb-982-chernyy/" TargetMode="External"/><Relationship Id="rId_hyperlink_874" Type="http://schemas.openxmlformats.org/officeDocument/2006/relationships/hyperlink" Target="https://optovikufa.ru/product/123665/mysh-provodnaya-perfeo-3kn-usb-18m-chern-belaya-pf-353-op-w/" TargetMode="External"/><Relationship Id="rId_hyperlink_875" Type="http://schemas.openxmlformats.org/officeDocument/2006/relationships/hyperlink" Target="https://optovikufa.ru/product/123666/mysh-provodnaya-perfeo-3kn-usb-18m-chern-zhelt-pf-353-op-y/" TargetMode="External"/><Relationship Id="rId_hyperlink_876" Type="http://schemas.openxmlformats.org/officeDocument/2006/relationships/hyperlink" Target="https://optovikufa.ru/product/123667/mysh-provodnaya-perfeo-3kn-usb-18m-chern-zelen-pf-353-op-gn/" TargetMode="External"/><Relationship Id="rId_hyperlink_877" Type="http://schemas.openxmlformats.org/officeDocument/2006/relationships/hyperlink" Target="https://optovikufa.ru/product/123668/mysh-provodnaya-perfeo-3kn-usb-18m-chern-oranzh-pf-353-op-or/" TargetMode="External"/><Relationship Id="rId_hyperlink_878" Type="http://schemas.openxmlformats.org/officeDocument/2006/relationships/hyperlink" Target="https://optovikufa.ru/product/123664/mysh-provodnaya-perfeo-3kn-usb-18m-chernaya-pf-353-op-b/" TargetMode="External"/><Relationship Id="rId_hyperlink_879" Type="http://schemas.openxmlformats.org/officeDocument/2006/relationships/hyperlink" Target="https://optovikufa.ru/product/221931/mysh-provodnaya-perfeo-debut-chernyy/" TargetMode="External"/><Relationship Id="rId_hyperlink_880" Type="http://schemas.openxmlformats.org/officeDocument/2006/relationships/hyperlink" Target="https://optovikufa.ru/product/236287/mysh-provodnaya-perfeo-face-chernaya/" TargetMode="External"/><Relationship Id="rId_hyperlink_881" Type="http://schemas.openxmlformats.org/officeDocument/2006/relationships/hyperlink" Target="https://optovikufa.ru/product/236288/mysh-provodnaya-perfeo-graf-chernaya/" TargetMode="External"/><Relationship Id="rId_hyperlink_882" Type="http://schemas.openxmlformats.org/officeDocument/2006/relationships/hyperlink" Target="https://optovikufa.ru/product/221932/mysh-provodnaya-perfeo-line-chernyy/" TargetMode="External"/><Relationship Id="rId_hyperlink_883" Type="http://schemas.openxmlformats.org/officeDocument/2006/relationships/hyperlink" Target="https://optovikufa.ru/product/193716/mysh-provodnaya-perfeo-pf-010-cb-glow-podsvetka-3kn-usb-chern-color-box/" TargetMode="External"/><Relationship Id="rId_hyperlink_884" Type="http://schemas.openxmlformats.org/officeDocument/2006/relationships/hyperlink" Target="https://optovikufa.ru/product/141538/mysh-provodnaya-perfeo-profil-4kn-usb-chernaya-pf-383-op-b/" TargetMode="External"/><Relationship Id="rId_hyperlink_885" Type="http://schemas.openxmlformats.org/officeDocument/2006/relationships/hyperlink" Target="https://optovikufa.ru/product/133506/mysh-provodnaya-perfeo-profil-4kn-usb-cherno-zelenaya-pf-383-op-bgn/" TargetMode="External"/><Relationship Id="rId_hyperlink_886" Type="http://schemas.openxmlformats.org/officeDocument/2006/relationships/hyperlink" Target="https://optovikufa.ru/product/141539/mysh-provodnaya-perfeo-profil-4kn-usb-cherno-sinyaya-pf-383-op-bbl/" TargetMode="External"/><Relationship Id="rId_hyperlink_887" Type="http://schemas.openxmlformats.org/officeDocument/2006/relationships/hyperlink" Target="https://optovikufa.ru/product/223307/mysh-provodnaya-perfeo-tour-chernyy-serebro/" TargetMode="External"/><Relationship Id="rId_hyperlink_888" Type="http://schemas.openxmlformats.org/officeDocument/2006/relationships/hyperlink" Target="https://optovikufa.ru/product/242948/mysh-provodnaya-perfeo-usb-no-name-4-chernyy/" TargetMode="External"/><Relationship Id="rId_hyperlink_889" Type="http://schemas.openxmlformats.org/officeDocument/2006/relationships/hyperlink" Target="https://optovikufa.ru/product/231814/mysh-provodnaya-smartbuy-216-one-usb-black/" TargetMode="External"/><Relationship Id="rId_hyperlink_890" Type="http://schemas.openxmlformats.org/officeDocument/2006/relationships/hyperlink" Target="https://optovikufa.ru/product/240707/mysh-provodnaya-smartbuy-288k-usb-chernaya-s-podsvetkoy-bezzvuchnaya/" TargetMode="External"/><Relationship Id="rId_hyperlink_891" Type="http://schemas.openxmlformats.org/officeDocument/2006/relationships/hyperlink" Target="https://optovikufa.ru/product/173409/mysh-provodnaya-smartbuy-325-usb-black/" TargetMode="External"/><Relationship Id="rId_hyperlink_892" Type="http://schemas.openxmlformats.org/officeDocument/2006/relationships/hyperlink" Target="https://optovikufa.ru/product/165127/mysh-provodnaya-smartbuy-325-usb-blue/" TargetMode="External"/><Relationship Id="rId_hyperlink_893" Type="http://schemas.openxmlformats.org/officeDocument/2006/relationships/hyperlink" Target="https://optovikufa.ru/product/173410/mysh-provodnaya-smartbuy-325-usb-red/" TargetMode="External"/><Relationship Id="rId_hyperlink_894" Type="http://schemas.openxmlformats.org/officeDocument/2006/relationships/hyperlink" Target="https://optovikufa.ru/product/173411/mysh-provodnaya-smartbuy-325-usb-yellow/" TargetMode="External"/><Relationship Id="rId_hyperlink_895" Type="http://schemas.openxmlformats.org/officeDocument/2006/relationships/hyperlink" Target="https://optovikufa.ru/product/165379/mysh-provodnaya-smartbuy-334-one-usb-black-s-podsvetkoy/" TargetMode="External"/><Relationship Id="rId_hyperlink_896" Type="http://schemas.openxmlformats.org/officeDocument/2006/relationships/hyperlink" Target="https://optovikufa.ru/product/165378/mysh-provodnaya-smartbuy-334-one-usb-white-s-podsvetkoy/" TargetMode="External"/><Relationship Id="rId_hyperlink_897" Type="http://schemas.openxmlformats.org/officeDocument/2006/relationships/hyperlink" Target="https://optovikufa.ru/product/165381/mysh-provodnaya-smartbuy-338-one-usb-black-s-podsvetkoy/" TargetMode="External"/><Relationship Id="rId_hyperlink_898" Type="http://schemas.openxmlformats.org/officeDocument/2006/relationships/hyperlink" Target="https://optovikufa.ru/product/165380/mysh-provodnaya-smartbuy-338-one-usb-white-s-podsvetkoy/" TargetMode="External"/><Relationship Id="rId_hyperlink_899" Type="http://schemas.openxmlformats.org/officeDocument/2006/relationships/hyperlink" Target="https://optovikufa.ru/product/165382/mysh-provodnaya-smartbuy-339-one-usb-black/" TargetMode="External"/><Relationship Id="rId_hyperlink_900" Type="http://schemas.openxmlformats.org/officeDocument/2006/relationships/hyperlink" Target="https://optovikufa.ru/product/238120/mysh-provodnaya-smartbuy-one-212-k-usb-chernaya/" TargetMode="External"/><Relationship Id="rId_hyperlink_901" Type="http://schemas.openxmlformats.org/officeDocument/2006/relationships/hyperlink" Target="https://optovikufa.ru/product/146421/mysh-provodnaya-smartbuy-one-214-k-usb-chernaya/" TargetMode="External"/><Relationship Id="rId_hyperlink_902" Type="http://schemas.openxmlformats.org/officeDocument/2006/relationships/hyperlink" Target="https://optovikufa.ru/product/225933/mysh-provodnaya-smartbuy-one-265-k-usb-krasnaya-bezzvuchnaya/" TargetMode="External"/><Relationship Id="rId_hyperlink_903" Type="http://schemas.openxmlformats.org/officeDocument/2006/relationships/hyperlink" Target="https://optovikufa.ru/product/225932/mysh-provodnaya-smartbuy-one-265-k-usb-chernaya-bezzvuchnaya/" TargetMode="External"/><Relationship Id="rId_hyperlink_904" Type="http://schemas.openxmlformats.org/officeDocument/2006/relationships/hyperlink" Target="https://optovikufa.ru/product/227527/mysh-provodnaya-smartbuy-one-280-usb-belo-seraya-bezzvuchnaya/" TargetMode="External"/><Relationship Id="rId_hyperlink_905" Type="http://schemas.openxmlformats.org/officeDocument/2006/relationships/hyperlink" Target="https://optovikufa.ru/product/227526/mysh-provodnaya-smartbuy-one-280-usb-chernaya-bezzvuchnaya/" TargetMode="External"/><Relationship Id="rId_hyperlink_906" Type="http://schemas.openxmlformats.org/officeDocument/2006/relationships/hyperlink" Target="https://optovikufa.ru/product/126782/mysh-provodnaya-smartbuy-one-329-usb-cherno-zheltaya/" TargetMode="External"/><Relationship Id="rId_hyperlink_907" Type="http://schemas.openxmlformats.org/officeDocument/2006/relationships/hyperlink" Target="https://optovikufa.ru/product/126783/mysh-provodnaya-smartbuy-one-329-usb-cherno-seraya/" TargetMode="External"/><Relationship Id="rId_hyperlink_908" Type="http://schemas.openxmlformats.org/officeDocument/2006/relationships/hyperlink" Target="https://optovikufa.ru/product/126784/mysh-provodnaya-smartbuy-one-329-usb-cherno-sinyaya/" TargetMode="External"/><Relationship Id="rId_hyperlink_909" Type="http://schemas.openxmlformats.org/officeDocument/2006/relationships/hyperlink" Target="https://optovikufa.ru/product/178412/mysh-provodnaya-smartbuy-one-352-usb-belaya/" TargetMode="External"/><Relationship Id="rId_hyperlink_910" Type="http://schemas.openxmlformats.org/officeDocument/2006/relationships/hyperlink" Target="https://optovikufa.ru/product/161165/mysh-provodnaya-smartbuy-one-352-usb-chernaya/" TargetMode="External"/><Relationship Id="rId_hyperlink_911" Type="http://schemas.openxmlformats.org/officeDocument/2006/relationships/hyperlink" Target="https://optovikufa.ru/product/161162/mysh-provodnaya-smartbuy-one-352-usb-cherno-zelenaya/" TargetMode="External"/><Relationship Id="rId_hyperlink_912" Type="http://schemas.openxmlformats.org/officeDocument/2006/relationships/hyperlink" Target="https://optovikufa.ru/product/161163/mysh-provodnaya-smartbuy-one-352-usb-cherno-krasnaya/" TargetMode="External"/><Relationship Id="rId_hyperlink_913" Type="http://schemas.openxmlformats.org/officeDocument/2006/relationships/hyperlink" Target="https://optovikufa.ru/product/161164/mysh-provodnaya-smartbuy-one-352-usb-cherno-sinyaya/" TargetMode="External"/><Relationship Id="rId_hyperlink_914" Type="http://schemas.openxmlformats.org/officeDocument/2006/relationships/hyperlink" Target="https://optovikufa.ru/product/239431/svetodiodnyy-usb-svetilnik-24-led-5v-12vt-180mm/" TargetMode="External"/><Relationship Id="rId_hyperlink_915" Type="http://schemas.openxmlformats.org/officeDocument/2006/relationships/hyperlink" Target="https://optovikufa.ru/product/239430/svetodiodnyy-usb-svetilnik-3-led-5v-15-vt-60mm/" TargetMode="External"/><Relationship Id="rId_hyperlink_916" Type="http://schemas.openxmlformats.org/officeDocument/2006/relationships/hyperlink" Target="https://optovikufa.ru/product/239429/svetodiodnyy-usb-svetilnik-8-led-5v-25vt-100mm/" TargetMode="External"/><Relationship Id="rId_hyperlink_917" Type="http://schemas.openxmlformats.org/officeDocument/2006/relationships/hyperlink" Target="https://optovikufa.ru/product/243113/svetodiodnyy-usb-svetilnik-c6-3-led-cool-teplyy-svet-dream/" TargetMode="External"/><Relationship Id="rId_hyperlink_918" Type="http://schemas.openxmlformats.org/officeDocument/2006/relationships/hyperlink" Target="https://optovikufa.ru/product/241605/svetodiodnyy-usb-svetilnik-c6-3-led-cool-holodnyy-svet-dream/" TargetMode="External"/><Relationship Id="rId_hyperlink_919" Type="http://schemas.openxmlformats.org/officeDocument/2006/relationships/hyperlink" Target="https://optovikufa.ru/product/241610/svetodiodnyy-usb-svetilnik-c6-8-led-cool-holodnyy-svet-dream/" TargetMode="External"/><Relationship Id="rId_hyperlink_920" Type="http://schemas.openxmlformats.org/officeDocument/2006/relationships/hyperlink" Target="https://optovikufa.ru/product/241792/kabel-type-c-type-c-60w-6a-1200mm-mrm-pd88t-belyy/" TargetMode="External"/><Relationship Id="rId_hyperlink_921" Type="http://schemas.openxmlformats.org/officeDocument/2006/relationships/hyperlink" Target="https://optovikufa.ru/product/241791/kabel-type-c-type-c-60w-6a-1200mm-mrm-pd88t-chernyy/" TargetMode="External"/><Relationship Id="rId_hyperlink_922" Type="http://schemas.openxmlformats.org/officeDocument/2006/relationships/hyperlink" Target="https://optovikufa.ru/product/233180/kabel-type-c-type-c-borofone-bx51-1m-60w-belyy/" TargetMode="External"/><Relationship Id="rId_hyperlink_923" Type="http://schemas.openxmlformats.org/officeDocument/2006/relationships/hyperlink" Target="https://optovikufa.ru/product/233181/kabel-type-c-type-c-borofone-bx51-1m-60w-chernyy/" TargetMode="External"/><Relationship Id="rId_hyperlink_924" Type="http://schemas.openxmlformats.org/officeDocument/2006/relationships/hyperlink" Target="https://optovikufa.ru/product/242261/kabel-type-c-type-c-borofone-bx70-1m-60w-silikon-chernyy/" TargetMode="External"/><Relationship Id="rId_hyperlink_925" Type="http://schemas.openxmlformats.org/officeDocument/2006/relationships/hyperlink" Target="https://optovikufa.ru/product/237214/kabel-type-c-type-c-borofone-bx80-belyy/" TargetMode="External"/><Relationship Id="rId_hyperlink_926" Type="http://schemas.openxmlformats.org/officeDocument/2006/relationships/hyperlink" Target="https://optovikufa.ru/product/237215/kabel-type-c-type-c-borofone-bx80-chernyy/" TargetMode="External"/><Relationship Id="rId_hyperlink_927" Type="http://schemas.openxmlformats.org/officeDocument/2006/relationships/hyperlink" Target="https://optovikufa.ru/product/242262/kabel-type-c-type-c-borofone-bx84-1m-60w-belyy/" TargetMode="External"/><Relationship Id="rId_hyperlink_928" Type="http://schemas.openxmlformats.org/officeDocument/2006/relationships/hyperlink" Target="https://optovikufa.ru/product/242264/kabel-type-c-type-c-borofone-bx91-1m-belyy-30a-pd60w/" TargetMode="External"/><Relationship Id="rId_hyperlink_929" Type="http://schemas.openxmlformats.org/officeDocument/2006/relationships/hyperlink" Target="https://optovikufa.ru/product/242266/kabel-type-c-type-c-borofone-bx93-1m-belyy-30a-pd60w/" TargetMode="External"/><Relationship Id="rId_hyperlink_930" Type="http://schemas.openxmlformats.org/officeDocument/2006/relationships/hyperlink" Target="https://optovikufa.ru/product/242267/kabel-type-c-type-c-borofone-bx93-1m-chernyy-30a-pd60w/" TargetMode="External"/><Relationship Id="rId_hyperlink_931" Type="http://schemas.openxmlformats.org/officeDocument/2006/relationships/hyperlink" Target="https://optovikufa.ru/product/234787/kabel-type-c-type-c-dream-pd07-belyy/" TargetMode="External"/><Relationship Id="rId_hyperlink_932" Type="http://schemas.openxmlformats.org/officeDocument/2006/relationships/hyperlink" Target="https://optovikufa.ru/product/242835/kabel-type-c-type-c-hoco-x37-belyy/" TargetMode="External"/><Relationship Id="rId_hyperlink_933" Type="http://schemas.openxmlformats.org/officeDocument/2006/relationships/hyperlink" Target="https://optovikufa.ru/product/237219/kabel-type-c-type-c-hoco-x73-chernyy/" TargetMode="External"/><Relationship Id="rId_hyperlink_934" Type="http://schemas.openxmlformats.org/officeDocument/2006/relationships/hyperlink" Target="https://optovikufa.ru/product/240430/kabel-type-c-type-c-hoco-x96-1m-60w-belyy/" TargetMode="External"/><Relationship Id="rId_hyperlink_935" Type="http://schemas.openxmlformats.org/officeDocument/2006/relationships/hyperlink" Target="https://optovikufa.ru/product/240429/kabel-type-c-type-c-hoco-x96-1m-60w-chernyy/" TargetMode="External"/><Relationship Id="rId_hyperlink_936" Type="http://schemas.openxmlformats.org/officeDocument/2006/relationships/hyperlink" Target="https://optovikufa.ru/product/236521/kabel-type-c-type-c-usb-cusb-c-1m-12w/" TargetMode="External"/><Relationship Id="rId_hyperlink_937" Type="http://schemas.openxmlformats.org/officeDocument/2006/relationships/hyperlink" Target="https://optovikufa.ru/product/236523/kabel-type-c-type-c-usb-cusb-c-2m-12w/" TargetMode="External"/><Relationship Id="rId_hyperlink_938" Type="http://schemas.openxmlformats.org/officeDocument/2006/relationships/hyperlink" Target="https://optovikufa.ru/product/242832/kabel-type-c-type-c-hoco-x101-seryy/" TargetMode="External"/><Relationship Id="rId_hyperlink_939" Type="http://schemas.openxmlformats.org/officeDocument/2006/relationships/hyperlink" Target="https://optovikufa.ru/product/242833/kabel-type-c-type-c-hoco-x101-chernyy/" TargetMode="External"/><Relationship Id="rId_hyperlink_940" Type="http://schemas.openxmlformats.org/officeDocument/2006/relationships/hyperlink" Target="https://optovikufa.ru/product/242834/kabel-type-c-type-c-hoco-x102-chernyy/" TargetMode="External"/><Relationship Id="rId_hyperlink_941" Type="http://schemas.openxmlformats.org/officeDocument/2006/relationships/hyperlink" Target="https://optovikufa.ru/product/221928/kabel-usb-lightning-borofone-bx14-1m-belyy/" TargetMode="External"/><Relationship Id="rId_hyperlink_942" Type="http://schemas.openxmlformats.org/officeDocument/2006/relationships/hyperlink" Target="https://optovikufa.ru/product/220236/kabel-usb-lightning-borofone-bx14-2m-belyy/" TargetMode="External"/><Relationship Id="rId_hyperlink_943" Type="http://schemas.openxmlformats.org/officeDocument/2006/relationships/hyperlink" Target="https://optovikufa.ru/product/221222/kabel-usb-lightning-borofone-bx14-3m-belyy/" TargetMode="External"/><Relationship Id="rId_hyperlink_944" Type="http://schemas.openxmlformats.org/officeDocument/2006/relationships/hyperlink" Target="https://optovikufa.ru/product/224459/kabel-usb-lightning-borofone-bx16-belyy/" TargetMode="External"/><Relationship Id="rId_hyperlink_945" Type="http://schemas.openxmlformats.org/officeDocument/2006/relationships/hyperlink" Target="https://optovikufa.ru/product/221895/kabel-usb-lightning-borofone-bx16-chernyy/" TargetMode="External"/><Relationship Id="rId_hyperlink_946" Type="http://schemas.openxmlformats.org/officeDocument/2006/relationships/hyperlink" Target="https://optovikufa.ru/product/221223/kabel-usb-lightning-borofone-bx17-belyy/" TargetMode="External"/><Relationship Id="rId_hyperlink_947" Type="http://schemas.openxmlformats.org/officeDocument/2006/relationships/hyperlink" Target="https://optovikufa.ru/product/230587/kabel-usb-lightning-borofone-bx17-chernyy/" TargetMode="External"/><Relationship Id="rId_hyperlink_948" Type="http://schemas.openxmlformats.org/officeDocument/2006/relationships/hyperlink" Target="https://optovikufa.ru/product/223025/kabel-usb-lightning-borofone-bx18-1m-belyy/" TargetMode="External"/><Relationship Id="rId_hyperlink_949" Type="http://schemas.openxmlformats.org/officeDocument/2006/relationships/hyperlink" Target="https://optovikufa.ru/product/223026/kabel-usb-lightning-borofone-bx18-2m-belyy/" TargetMode="External"/><Relationship Id="rId_hyperlink_950" Type="http://schemas.openxmlformats.org/officeDocument/2006/relationships/hyperlink" Target="https://optovikufa.ru/product/231617/kabel-usb-lightning-borofone-bx18-3m-belyy/" TargetMode="External"/><Relationship Id="rId_hyperlink_951" Type="http://schemas.openxmlformats.org/officeDocument/2006/relationships/hyperlink" Target="https://optovikufa.ru/product/220644/kabel-usb-lightning-borofone-bx25-opletka-neylon-belyy/" TargetMode="External"/><Relationship Id="rId_hyperlink_952" Type="http://schemas.openxmlformats.org/officeDocument/2006/relationships/hyperlink" Target="https://optovikufa.ru/product/226440/kabel-usb-lightning-borofone-bx25-opletka-neylon-chernyy/" TargetMode="External"/><Relationship Id="rId_hyperlink_953" Type="http://schemas.openxmlformats.org/officeDocument/2006/relationships/hyperlink" Target="https://optovikufa.ru/product/230579/kabel-usb-lightning-borofone-bx30-belyy/" TargetMode="External"/><Relationship Id="rId_hyperlink_954" Type="http://schemas.openxmlformats.org/officeDocument/2006/relationships/hyperlink" Target="https://optovikufa.ru/product/230580/kabel-usb-lightning-borofone-bx30-chernyy/" TargetMode="External"/><Relationship Id="rId_hyperlink_955" Type="http://schemas.openxmlformats.org/officeDocument/2006/relationships/hyperlink" Target="https://optovikufa.ru/product/233397/kabel-usb-lightning-borofone-bx35-ploskiy-belyy/" TargetMode="External"/><Relationship Id="rId_hyperlink_956" Type="http://schemas.openxmlformats.org/officeDocument/2006/relationships/hyperlink" Target="https://optovikufa.ru/product/228420/kabel-usb-lightning-borofone-bx37-belyy/" TargetMode="External"/><Relationship Id="rId_hyperlink_957" Type="http://schemas.openxmlformats.org/officeDocument/2006/relationships/hyperlink" Target="https://optovikufa.ru/product/228992/kabel-usb-lightning-borofone-bx37-chernyy/" TargetMode="External"/><Relationship Id="rId_hyperlink_958" Type="http://schemas.openxmlformats.org/officeDocument/2006/relationships/hyperlink" Target="https://optovikufa.ru/product/229325/kabel-usb-lightning-borofone-bx41-magnitnyy-chernyy/" TargetMode="External"/><Relationship Id="rId_hyperlink_959" Type="http://schemas.openxmlformats.org/officeDocument/2006/relationships/hyperlink" Target="https://optovikufa.ru/product/228991/kabel-usb-lightning-borofone-bx43-belyy/" TargetMode="External"/><Relationship Id="rId_hyperlink_960" Type="http://schemas.openxmlformats.org/officeDocument/2006/relationships/hyperlink" Target="https://optovikufa.ru/product/229328/kabel-usb-lightning-borofone-bx54-opletka-chernyy/" TargetMode="External"/><Relationship Id="rId_hyperlink_961" Type="http://schemas.openxmlformats.org/officeDocument/2006/relationships/hyperlink" Target="https://optovikufa.ru/product/242818/kabel-usb-lightning-borofone-bx64-belyy/" TargetMode="External"/><Relationship Id="rId_hyperlink_962" Type="http://schemas.openxmlformats.org/officeDocument/2006/relationships/hyperlink" Target="https://optovikufa.ru/product/242753/kabel-usb-lightning-borofone-bx64-chernyy/" TargetMode="External"/><Relationship Id="rId_hyperlink_963" Type="http://schemas.openxmlformats.org/officeDocument/2006/relationships/hyperlink" Target="https://optovikufa.ru/product/237274/kabel-usb-lightning-borofone-bx80-belyy/" TargetMode="External"/><Relationship Id="rId_hyperlink_964" Type="http://schemas.openxmlformats.org/officeDocument/2006/relationships/hyperlink" Target="https://optovikufa.ru/product/237275/kabel-usb-lightning-borofone-bx80-chernyy/" TargetMode="External"/><Relationship Id="rId_hyperlink_965" Type="http://schemas.openxmlformats.org/officeDocument/2006/relationships/hyperlink" Target="https://optovikufa.ru/product/236048/kabel-usb-lightning-borofone-bx81-diametr-6mm-chernyy/" TargetMode="External"/><Relationship Id="rId_hyperlink_966" Type="http://schemas.openxmlformats.org/officeDocument/2006/relationships/hyperlink" Target="https://optovikufa.ru/product/239010/kabel-usb-lightning-borofone-bx84-1m-belyy/" TargetMode="External"/><Relationship Id="rId_hyperlink_967" Type="http://schemas.openxmlformats.org/officeDocument/2006/relationships/hyperlink" Target="https://optovikufa.ru/product/239009/kabel-usb-lightning-borofone-bx84-1m-chernyy/" TargetMode="External"/><Relationship Id="rId_hyperlink_968" Type="http://schemas.openxmlformats.org/officeDocument/2006/relationships/hyperlink" Target="https://optovikufa.ru/product/236232/kabel-usb-lightning-borofone-bx85-1m-ploskiy-belyy/" TargetMode="External"/><Relationship Id="rId_hyperlink_969" Type="http://schemas.openxmlformats.org/officeDocument/2006/relationships/hyperlink" Target="https://optovikufa.ru/product/240760/kabel-usb-lightning-borofone-bx91-1m-derzhatel-kabelya-chernyy/" TargetMode="External"/><Relationship Id="rId_hyperlink_970" Type="http://schemas.openxmlformats.org/officeDocument/2006/relationships/hyperlink" Target="https://optovikufa.ru/product/242819/kabel-usb-lightning-borofone-bx93-1m-belyy/" TargetMode="External"/><Relationship Id="rId_hyperlink_971" Type="http://schemas.openxmlformats.org/officeDocument/2006/relationships/hyperlink" Target="https://optovikufa.ru/product/242752/kabel-usb-lightning-borofone-bx93-1m-chernyy/" TargetMode="External"/><Relationship Id="rId_hyperlink_972" Type="http://schemas.openxmlformats.org/officeDocument/2006/relationships/hyperlink" Target="https://optovikufa.ru/product/242242/kabel-usb-lightning-borofone-bx94-1m-seryy/" TargetMode="External"/><Relationship Id="rId_hyperlink_973" Type="http://schemas.openxmlformats.org/officeDocument/2006/relationships/hyperlink" Target="https://optovikufa.ru/product/242254/kabel-usb-lightning-borofone-bx99-1m-chernyy/" TargetMode="External"/><Relationship Id="rId_hyperlink_974" Type="http://schemas.openxmlformats.org/officeDocument/2006/relationships/hyperlink" Target="https://optovikufa.ru/product/236510/kabel-usb-lightning-dream-a6/" TargetMode="External"/><Relationship Id="rId_hyperlink_975" Type="http://schemas.openxmlformats.org/officeDocument/2006/relationships/hyperlink" Target="https://optovikufa.ru/product/225594/kabel-usb-lightning-hoco-s8-magnitnyy-chernyy/" TargetMode="External"/><Relationship Id="rId_hyperlink_976" Type="http://schemas.openxmlformats.org/officeDocument/2006/relationships/hyperlink" Target="https://optovikufa.ru/product/168198/kabel-usb-lightning-hoco-u22-chernyy/" TargetMode="External"/><Relationship Id="rId_hyperlink_977" Type="http://schemas.openxmlformats.org/officeDocument/2006/relationships/hyperlink" Target="https://optovikufa.ru/product/178257/kabel-usb-lightning-hoco-x1-2m-belyy/" TargetMode="External"/><Relationship Id="rId_hyperlink_978" Type="http://schemas.openxmlformats.org/officeDocument/2006/relationships/hyperlink" Target="https://optovikufa.ru/product/178258/kabel-usb-lightning-hoco-x1-3m-belyy/" TargetMode="External"/><Relationship Id="rId_hyperlink_979" Type="http://schemas.openxmlformats.org/officeDocument/2006/relationships/hyperlink" Target="https://optovikufa.ru/product/242256/kabel-usb-lightning-hoco-x101-chernyy/" TargetMode="External"/><Relationship Id="rId_hyperlink_980" Type="http://schemas.openxmlformats.org/officeDocument/2006/relationships/hyperlink" Target="https://optovikufa.ru/product/158685/kabel-usb-lightning-hoco-x13-chernyy/" TargetMode="External"/><Relationship Id="rId_hyperlink_981" Type="http://schemas.openxmlformats.org/officeDocument/2006/relationships/hyperlink" Target="https://optovikufa.ru/product/218131/kabel-usb-lightning-hoco-x14-2m-krasnyy/" TargetMode="External"/><Relationship Id="rId_hyperlink_982" Type="http://schemas.openxmlformats.org/officeDocument/2006/relationships/hyperlink" Target="https://optovikufa.ru/product/171907/kabel-usb-lightning-hoco-x20-2m-belyy/" TargetMode="External"/><Relationship Id="rId_hyperlink_983" Type="http://schemas.openxmlformats.org/officeDocument/2006/relationships/hyperlink" Target="https://optovikufa.ru/product/171906/kabel-usb-lightning-hoco-x20-2m-chernyy/" TargetMode="External"/><Relationship Id="rId_hyperlink_984" Type="http://schemas.openxmlformats.org/officeDocument/2006/relationships/hyperlink" Target="https://optovikufa.ru/product/169869/kabel-usb-lightning-hoco-x20-3m-belyy/" TargetMode="External"/><Relationship Id="rId_hyperlink_985" Type="http://schemas.openxmlformats.org/officeDocument/2006/relationships/hyperlink" Target="https://optovikufa.ru/product/169870/kabel-usb-lightning-hoco-x20-3m-chernyy/" TargetMode="External"/><Relationship Id="rId_hyperlink_986" Type="http://schemas.openxmlformats.org/officeDocument/2006/relationships/hyperlink" Target="https://optovikufa.ru/product/217619/kabel-usb-lightning-hoco-x24-chernyy/" TargetMode="External"/><Relationship Id="rId_hyperlink_987" Type="http://schemas.openxmlformats.org/officeDocument/2006/relationships/hyperlink" Target="https://optovikufa.ru/product/221194/kabel-usb-lightning-hoco-x35-025m-chernyy/" TargetMode="External"/><Relationship Id="rId_hyperlink_988" Type="http://schemas.openxmlformats.org/officeDocument/2006/relationships/hyperlink" Target="https://optovikufa.ru/product/242828/kabel-usb-lightning-hoco-x37-05m-24a-silikon-belyy/" TargetMode="External"/><Relationship Id="rId_hyperlink_989" Type="http://schemas.openxmlformats.org/officeDocument/2006/relationships/hyperlink" Target="https://optovikufa.ru/product/238479/kabel-usb-lightning-hoco-x73-silikon-belyy/" TargetMode="External"/><Relationship Id="rId_hyperlink_990" Type="http://schemas.openxmlformats.org/officeDocument/2006/relationships/hyperlink" Target="https://optovikufa.ru/product/240039/kabel-usb-lightning-hoco-x96-chernyy/" TargetMode="External"/><Relationship Id="rId_hyperlink_991" Type="http://schemas.openxmlformats.org/officeDocument/2006/relationships/hyperlink" Target="https://optovikufa.ru/product/241793/kabel-usb-lightning-mrm-mr360i-magnitnyy-silikonovyy-belyy/" TargetMode="External"/><Relationship Id="rId_hyperlink_992" Type="http://schemas.openxmlformats.org/officeDocument/2006/relationships/hyperlink" Target="https://optovikufa.ru/product/241794/kabel-usb-microusb-mrm-mr360m-magnitnyy-silikonovyy-belyy/" TargetMode="External"/><Relationship Id="rId_hyperlink_993" Type="http://schemas.openxmlformats.org/officeDocument/2006/relationships/hyperlink" Target="https://optovikufa.ru/product/144800/kabel-usb-iphone-5-magnetic-magnitnyy/" TargetMode="External"/><Relationship Id="rId_hyperlink_994" Type="http://schemas.openxmlformats.org/officeDocument/2006/relationships/hyperlink" Target="https://optovikufa.ru/product/222165/kabel-usb-iphone-5-moxom-magnitnyy-mx-cb-24/" TargetMode="External"/><Relationship Id="rId_hyperlink_995" Type="http://schemas.openxmlformats.org/officeDocument/2006/relationships/hyperlink" Target="https://optovikufa.ru/product/171362/kabel-usb-iphone-5-sendem-1m-t1/" TargetMode="External"/><Relationship Id="rId_hyperlink_996" Type="http://schemas.openxmlformats.org/officeDocument/2006/relationships/hyperlink" Target="https://optovikufa.ru/product/220256/kabel-usb-microusb-borofone-bx1-belyy/" TargetMode="External"/><Relationship Id="rId_hyperlink_997" Type="http://schemas.openxmlformats.org/officeDocument/2006/relationships/hyperlink" Target="https://optovikufa.ru/product/220257/kabel-usb-microusb-borofone-bx1-chernyy/" TargetMode="External"/><Relationship Id="rId_hyperlink_998" Type="http://schemas.openxmlformats.org/officeDocument/2006/relationships/hyperlink" Target="https://optovikufa.ru/product/218724/kabel-usb-microusb-borofone-bx14-1m-belyy/" TargetMode="External"/><Relationship Id="rId_hyperlink_999" Type="http://schemas.openxmlformats.org/officeDocument/2006/relationships/hyperlink" Target="https://optovikufa.ru/product/221898/kabel-usb-microusb-borofone-bx14-2m-belyy/" TargetMode="External"/><Relationship Id="rId_hyperlink_1000" Type="http://schemas.openxmlformats.org/officeDocument/2006/relationships/hyperlink" Target="https://optovikufa.ru/product/221909/kabel-usb-microusb-borofone-bx14-3m-belyy/" TargetMode="External"/><Relationship Id="rId_hyperlink_1001" Type="http://schemas.openxmlformats.org/officeDocument/2006/relationships/hyperlink" Target="https://optovikufa.ru/product/219045/kabel-usb-microusb-borofone-bx16-chernyy/" TargetMode="External"/><Relationship Id="rId_hyperlink_1002" Type="http://schemas.openxmlformats.org/officeDocument/2006/relationships/hyperlink" Target="https://optovikufa.ru/product/223153/kabel-usb-microusb-borofone-bx17-belyy/" TargetMode="External"/><Relationship Id="rId_hyperlink_1003" Type="http://schemas.openxmlformats.org/officeDocument/2006/relationships/hyperlink" Target="https://optovikufa.ru/product/221239/kabel-usb-microusb-borofone-bx17-chernyy/" TargetMode="External"/><Relationship Id="rId_hyperlink_1004" Type="http://schemas.openxmlformats.org/officeDocument/2006/relationships/hyperlink" Target="https://optovikufa.ru/product/219487/kabel-usb-microusb-borofone-bx18/" TargetMode="External"/><Relationship Id="rId_hyperlink_1005" Type="http://schemas.openxmlformats.org/officeDocument/2006/relationships/hyperlink" Target="https://optovikufa.ru/product/221899/kabel-usb-microusb-borofone-bx18-2m-silikon-belyy/" TargetMode="External"/><Relationship Id="rId_hyperlink_1006" Type="http://schemas.openxmlformats.org/officeDocument/2006/relationships/hyperlink" Target="https://optovikufa.ru/product/225874/kabel-usb-microusb-borofone-bx18-3m-belyy/" TargetMode="External"/><Relationship Id="rId_hyperlink_1007" Type="http://schemas.openxmlformats.org/officeDocument/2006/relationships/hyperlink" Target="https://optovikufa.ru/product/219488/kabel-usb-microusb-borofone-bx19-belyy/" TargetMode="External"/><Relationship Id="rId_hyperlink_1008" Type="http://schemas.openxmlformats.org/officeDocument/2006/relationships/hyperlink" Target="https://optovikufa.ru/product/218725/kabel-usb-microusb-borofone-bx19-chernyy/" TargetMode="External"/><Relationship Id="rId_hyperlink_1009" Type="http://schemas.openxmlformats.org/officeDocument/2006/relationships/hyperlink" Target="https://optovikufa.ru/product/220658/kabel-usb-microusb-borofone-bx22-belyy/" TargetMode="External"/><Relationship Id="rId_hyperlink_1010" Type="http://schemas.openxmlformats.org/officeDocument/2006/relationships/hyperlink" Target="https://optovikufa.ru/product/221902/kabel-usb-microusb-borofone-bx23-ploskiy-chernyy/" TargetMode="External"/><Relationship Id="rId_hyperlink_1011" Type="http://schemas.openxmlformats.org/officeDocument/2006/relationships/hyperlink" Target="https://optovikufa.ru/product/220659/kabel-usb-microusb-borofone-bx24-opletka-neylon-zoloto/" TargetMode="External"/><Relationship Id="rId_hyperlink_1012" Type="http://schemas.openxmlformats.org/officeDocument/2006/relationships/hyperlink" Target="https://optovikufa.ru/product/220660/kabel-usb-microusb-borofone-bx24-opletka-neylon-seryy/" TargetMode="External"/><Relationship Id="rId_hyperlink_1013" Type="http://schemas.openxmlformats.org/officeDocument/2006/relationships/hyperlink" Target="https://optovikufa.ru/product/220258/kabel-usb-microusb-borofone-bx25-opletka-neylon-belyy/" TargetMode="External"/><Relationship Id="rId_hyperlink_1014" Type="http://schemas.openxmlformats.org/officeDocument/2006/relationships/hyperlink" Target="https://optovikufa.ru/product/228421/kabel-usb-microusb-borofone-bx26-uglovoy-opletka-neylon-zoloto/" TargetMode="External"/><Relationship Id="rId_hyperlink_1015" Type="http://schemas.openxmlformats.org/officeDocument/2006/relationships/hyperlink" Target="https://optovikufa.ru/product/221903/kabel-usb-microusb-borofone-bx28-3a-krasnyy/" TargetMode="External"/><Relationship Id="rId_hyperlink_1016" Type="http://schemas.openxmlformats.org/officeDocument/2006/relationships/hyperlink" Target="https://optovikufa.ru/product/220260/kabel-usb-microusb-borofone-bx28-3a-seryy/" TargetMode="External"/><Relationship Id="rId_hyperlink_1017" Type="http://schemas.openxmlformats.org/officeDocument/2006/relationships/hyperlink" Target="https://optovikufa.ru/product/241854/kabel-usb-microusb-borofone-bx30-1m-belyy/" TargetMode="External"/><Relationship Id="rId_hyperlink_1018" Type="http://schemas.openxmlformats.org/officeDocument/2006/relationships/hyperlink" Target="https://optovikufa.ru/product/237196/kabel-usb-microusb-borofone-bx30-1m-chernyy/" TargetMode="External"/><Relationship Id="rId_hyperlink_1019" Type="http://schemas.openxmlformats.org/officeDocument/2006/relationships/hyperlink" Target="https://optovikufa.ru/product/224465/kabel-usb-microusb-borofone-bx35-ploskiy-belyy/" TargetMode="External"/><Relationship Id="rId_hyperlink_1020" Type="http://schemas.openxmlformats.org/officeDocument/2006/relationships/hyperlink" Target="https://optovikufa.ru/product/229303/kabel-usb-microusb-borofone-bx37-belyy/" TargetMode="External"/><Relationship Id="rId_hyperlink_1021" Type="http://schemas.openxmlformats.org/officeDocument/2006/relationships/hyperlink" Target="https://optovikufa.ru/product/228994/kabel-usb-microusb-borofone-bx37-chernyy/" TargetMode="External"/><Relationship Id="rId_hyperlink_1022" Type="http://schemas.openxmlformats.org/officeDocument/2006/relationships/hyperlink" Target="https://optovikufa.ru/product/234707/kabel-usb-microusb-borofone-bx38-opletka-krasnyy/" TargetMode="External"/><Relationship Id="rId_hyperlink_1023" Type="http://schemas.openxmlformats.org/officeDocument/2006/relationships/hyperlink" Target="https://optovikufa.ru/product/234708/kabel-usb-microusb-borofone-bx38-opletka-chernyy/" TargetMode="External"/><Relationship Id="rId_hyperlink_1024" Type="http://schemas.openxmlformats.org/officeDocument/2006/relationships/hyperlink" Target="https://optovikufa.ru/product/230279/kabel-usb-microusb-borofone-bx39-opletka-neylon-krasnyy/" TargetMode="External"/><Relationship Id="rId_hyperlink_1025" Type="http://schemas.openxmlformats.org/officeDocument/2006/relationships/hyperlink" Target="https://optovikufa.ru/product/232733/kabel-usb-microusb-borofone-bx39-opletka-neylon-chernyybelyy/" TargetMode="External"/><Relationship Id="rId_hyperlink_1026" Type="http://schemas.openxmlformats.org/officeDocument/2006/relationships/hyperlink" Target="https://optovikufa.ru/product/231866/kabel-usb-microusb-borofone-bx43-belyy/" TargetMode="External"/><Relationship Id="rId_hyperlink_1027" Type="http://schemas.openxmlformats.org/officeDocument/2006/relationships/hyperlink" Target="https://optovikufa.ru/product/229336/kabel-usb-microusb-borofone-bx54-opletka-chernyy/" TargetMode="External"/><Relationship Id="rId_hyperlink_1028" Type="http://schemas.openxmlformats.org/officeDocument/2006/relationships/hyperlink" Target="https://optovikufa.ru/product/230047/kabel-usb-microusb-borofone-bx59-silikon-belyy-zoloto/" TargetMode="External"/><Relationship Id="rId_hyperlink_1029" Type="http://schemas.openxmlformats.org/officeDocument/2006/relationships/hyperlink" Target="https://optovikufa.ru/product/236577/kabel-usb-microusb-borofone-bx70-silikon-belyy/" TargetMode="External"/><Relationship Id="rId_hyperlink_1030" Type="http://schemas.openxmlformats.org/officeDocument/2006/relationships/hyperlink" Target="https://optovikufa.ru/product/236580/kabel-usb-microusb-borofone-bx80-belyy/" TargetMode="External"/><Relationship Id="rId_hyperlink_1031" Type="http://schemas.openxmlformats.org/officeDocument/2006/relationships/hyperlink" Target="https://optovikufa.ru/product/236581/kabel-usb-microusb-borofone-bx80-chernyy/" TargetMode="External"/><Relationship Id="rId_hyperlink_1032" Type="http://schemas.openxmlformats.org/officeDocument/2006/relationships/hyperlink" Target="https://optovikufa.ru/product/236237/kabel-usb-microusb-borofone-bx84-belyy/" TargetMode="External"/><Relationship Id="rId_hyperlink_1033" Type="http://schemas.openxmlformats.org/officeDocument/2006/relationships/hyperlink" Target="https://optovikufa.ru/product/236238/kabel-usb-microusb-borofone-bx85-ploskiy-belyy/" TargetMode="External"/><Relationship Id="rId_hyperlink_1034" Type="http://schemas.openxmlformats.org/officeDocument/2006/relationships/hyperlink" Target="https://optovikufa.ru/product/241457/kabel-usb-microusb-borofone-bx86-belyy/" TargetMode="External"/><Relationship Id="rId_hyperlink_1035" Type="http://schemas.openxmlformats.org/officeDocument/2006/relationships/hyperlink" Target="https://optovikufa.ru/product/241458/kabel-usb-microusb-borofone-bx86-chernyy/" TargetMode="External"/><Relationship Id="rId_hyperlink_1036" Type="http://schemas.openxmlformats.org/officeDocument/2006/relationships/hyperlink" Target="https://optovikufa.ru/product/242829/kabel-usb-microusb-borofone-bx89-zelenyy/" TargetMode="External"/><Relationship Id="rId_hyperlink_1037" Type="http://schemas.openxmlformats.org/officeDocument/2006/relationships/hyperlink" Target="https://optovikufa.ru/product/242830/kabel-usb-microusb-borofone-bx89-seryy/" TargetMode="External"/><Relationship Id="rId_hyperlink_1038" Type="http://schemas.openxmlformats.org/officeDocument/2006/relationships/hyperlink" Target="https://optovikufa.ru/product/242257/kabel-usb-microusb-borofone-bx91-belyy/" TargetMode="External"/><Relationship Id="rId_hyperlink_1039" Type="http://schemas.openxmlformats.org/officeDocument/2006/relationships/hyperlink" Target="https://optovikufa.ru/product/242258/kabel-usb-microusb-borofone-bx91-chernyy/" TargetMode="External"/><Relationship Id="rId_hyperlink_1040" Type="http://schemas.openxmlformats.org/officeDocument/2006/relationships/hyperlink" Target="https://optovikufa.ru/product/236512/kabel-usb-microusb-dream-p8-1m-belyy/" TargetMode="External"/><Relationship Id="rId_hyperlink_1041" Type="http://schemas.openxmlformats.org/officeDocument/2006/relationships/hyperlink" Target="https://optovikufa.ru/product/236513/kabel-usb-microusb-dream-s6-1m-belyy/" TargetMode="External"/><Relationship Id="rId_hyperlink_1042" Type="http://schemas.openxmlformats.org/officeDocument/2006/relationships/hyperlink" Target="https://optovikufa.ru/product/236514/kabel-usb-microusb-dream-s6-1m-chernyy/" TargetMode="External"/><Relationship Id="rId_hyperlink_1043" Type="http://schemas.openxmlformats.org/officeDocument/2006/relationships/hyperlink" Target="https://optovikufa.ru/product/225444/kabel-usb-microusb-dream-u40-magnitnyy-1m-chernyy/" TargetMode="External"/><Relationship Id="rId_hyperlink_1044" Type="http://schemas.openxmlformats.org/officeDocument/2006/relationships/hyperlink" Target="https://optovikufa.ru/product/222395/kabel-usb-microusb-dream-u40-magnitnyy-serebro/" TargetMode="External"/><Relationship Id="rId_hyperlink_1045" Type="http://schemas.openxmlformats.org/officeDocument/2006/relationships/hyperlink" Target="https://optovikufa.ru/product/236516/kabel-usb-microusb-dream-x5-1m-belyy/" TargetMode="External"/><Relationship Id="rId_hyperlink_1046" Type="http://schemas.openxmlformats.org/officeDocument/2006/relationships/hyperlink" Target="https://optovikufa.ru/product/236517/kabel-usb-microusb-dream-x5-1m-chernyy/" TargetMode="External"/><Relationship Id="rId_hyperlink_1047" Type="http://schemas.openxmlformats.org/officeDocument/2006/relationships/hyperlink" Target="https://optovikufa.ru/product/229667/kabel-usb-microusb-foxn-a16-belyy/" TargetMode="External"/><Relationship Id="rId_hyperlink_1048" Type="http://schemas.openxmlformats.org/officeDocument/2006/relationships/hyperlink" Target="https://optovikufa.ru/product/178306/kabel-usb-microusb-hoco-x1-2m-silikon-belyy/" TargetMode="External"/><Relationship Id="rId_hyperlink_1049" Type="http://schemas.openxmlformats.org/officeDocument/2006/relationships/hyperlink" Target="https://optovikufa.ru/product/178267/kabel-usb-microusb-hoco-x1-silikon-belyy/" TargetMode="External"/><Relationship Id="rId_hyperlink_1050" Type="http://schemas.openxmlformats.org/officeDocument/2006/relationships/hyperlink" Target="https://optovikufa.ru/product/178268/kabel-usb-microusb-hoco-x1-chernyy/" TargetMode="External"/><Relationship Id="rId_hyperlink_1051" Type="http://schemas.openxmlformats.org/officeDocument/2006/relationships/hyperlink" Target="https://optovikufa.ru/product/178307/kabel-usb-microusb-hoco-x13-belyy/" TargetMode="External"/><Relationship Id="rId_hyperlink_1052" Type="http://schemas.openxmlformats.org/officeDocument/2006/relationships/hyperlink" Target="https://optovikufa.ru/product/125805/kabel-usb-microusb-hoco-x13-chernyy/" TargetMode="External"/><Relationship Id="rId_hyperlink_1053" Type="http://schemas.openxmlformats.org/officeDocument/2006/relationships/hyperlink" Target="https://optovikufa.ru/product/171901/kabel-usb-microusb-hoco-x14-2m-tkan-chernyykrasnyy/" TargetMode="External"/><Relationship Id="rId_hyperlink_1054" Type="http://schemas.openxmlformats.org/officeDocument/2006/relationships/hyperlink" Target="https://optovikufa.ru/product/169876/kabel-usb-microusb-hoco-x14-2m-chernyy/" TargetMode="External"/><Relationship Id="rId_hyperlink_1055" Type="http://schemas.openxmlformats.org/officeDocument/2006/relationships/hyperlink" Target="https://optovikufa.ru/product/169871/kabel-usb-microusb-hoco-x20-1m-silikon-belyy/" TargetMode="External"/><Relationship Id="rId_hyperlink_1056" Type="http://schemas.openxmlformats.org/officeDocument/2006/relationships/hyperlink" Target="https://optovikufa.ru/product/171908/kabel-usb-microusb-hoco-x20-1m-silikon-chernyy/" TargetMode="External"/><Relationship Id="rId_hyperlink_1057" Type="http://schemas.openxmlformats.org/officeDocument/2006/relationships/hyperlink" Target="https://optovikufa.ru/product/171909/kabel-usb-microusb-hoco-x20-2m-silikon-belyy/" TargetMode="External"/><Relationship Id="rId_hyperlink_1058" Type="http://schemas.openxmlformats.org/officeDocument/2006/relationships/hyperlink" Target="https://optovikufa.ru/product/178269/kabel-usb-microusb-hoco-x20-2m-silikon-chernyy/" TargetMode="External"/><Relationship Id="rId_hyperlink_1059" Type="http://schemas.openxmlformats.org/officeDocument/2006/relationships/hyperlink" Target="https://optovikufa.ru/product/178270/kabel-usb-microusb-hoco-x20-3m-silikon-belyy/" TargetMode="External"/><Relationship Id="rId_hyperlink_1060" Type="http://schemas.openxmlformats.org/officeDocument/2006/relationships/hyperlink" Target="https://optovikufa.ru/product/178271/kabel-usb-microusb-hoco-x20-3m-silikon-chernyy/" TargetMode="External"/><Relationship Id="rId_hyperlink_1061" Type="http://schemas.openxmlformats.org/officeDocument/2006/relationships/hyperlink" Target="https://optovikufa.ru/product/218552/kabel-usb-microusb-hoco-x21-silicone-belyy/" TargetMode="External"/><Relationship Id="rId_hyperlink_1062" Type="http://schemas.openxmlformats.org/officeDocument/2006/relationships/hyperlink" Target="https://optovikufa.ru/product/218553/kabel-usb-microusb-hoco-x21-silicone-krasnyy/" TargetMode="External"/><Relationship Id="rId_hyperlink_1063" Type="http://schemas.openxmlformats.org/officeDocument/2006/relationships/hyperlink" Target="https://optovikufa.ru/product/178272/kabel-usb-microusb-hoco-x25-belyy/" TargetMode="External"/><Relationship Id="rId_hyperlink_1064" Type="http://schemas.openxmlformats.org/officeDocument/2006/relationships/hyperlink" Target="https://optovikufa.ru/product/125806/kabel-usb-microusb-hoco-x25-chernyy/" TargetMode="External"/><Relationship Id="rId_hyperlink_1065" Type="http://schemas.openxmlformats.org/officeDocument/2006/relationships/hyperlink" Target="https://optovikufa.ru/product/217736/kabel-usb-microusb-hoco-x27-1m-silikon-belyy/" TargetMode="External"/><Relationship Id="rId_hyperlink_1066" Type="http://schemas.openxmlformats.org/officeDocument/2006/relationships/hyperlink" Target="https://optovikufa.ru/product/218554/kabel-usb-microusb-hoco-x32-1m-silikon-belyy/" TargetMode="External"/><Relationship Id="rId_hyperlink_1067" Type="http://schemas.openxmlformats.org/officeDocument/2006/relationships/hyperlink" Target="https://optovikufa.ru/product/242831/kabel-usb-microusb-hoco-x37-05m-silikon-belyy/" TargetMode="External"/><Relationship Id="rId_hyperlink_1068" Type="http://schemas.openxmlformats.org/officeDocument/2006/relationships/hyperlink" Target="https://optovikufa.ru/product/222550/kabel-usb-microusb-hoco-x37-1m-silikon-belyy/" TargetMode="External"/><Relationship Id="rId_hyperlink_1069" Type="http://schemas.openxmlformats.org/officeDocument/2006/relationships/hyperlink" Target="https://optovikufa.ru/product/234650/kabel-usb-microusb-hoco-x37-chernyy/" TargetMode="External"/><Relationship Id="rId_hyperlink_1070" Type="http://schemas.openxmlformats.org/officeDocument/2006/relationships/hyperlink" Target="https://optovikufa.ru/product/220655/kabel-usb-microusb-hoco-x38-025m-chernyy/" TargetMode="External"/><Relationship Id="rId_hyperlink_1071" Type="http://schemas.openxmlformats.org/officeDocument/2006/relationships/hyperlink" Target="https://optovikufa.ru/product/221839/kabel-usb-microusb-hoco-x40-ploskiy-chernyy/" TargetMode="External"/><Relationship Id="rId_hyperlink_1072" Type="http://schemas.openxmlformats.org/officeDocument/2006/relationships/hyperlink" Target="https://optovikufa.ru/product/231620/kabel-usb-microusb-hoco-x53-belyy/" TargetMode="External"/><Relationship Id="rId_hyperlink_1073" Type="http://schemas.openxmlformats.org/officeDocument/2006/relationships/hyperlink" Target="https://optovikufa.ru/product/232734/kabel-usb-microusb-hoco-x53-chernyy/" TargetMode="External"/><Relationship Id="rId_hyperlink_1074" Type="http://schemas.openxmlformats.org/officeDocument/2006/relationships/hyperlink" Target="https://optovikufa.ru/product/242259/kabel-usb-microusb-hoco-x59-10m-tkansiniy/" TargetMode="External"/><Relationship Id="rId_hyperlink_1075" Type="http://schemas.openxmlformats.org/officeDocument/2006/relationships/hyperlink" Target="https://optovikufa.ru/product/241601/kabel-usb-microusb-hoco-x59-20m-krasnyy/" TargetMode="External"/><Relationship Id="rId_hyperlink_1076" Type="http://schemas.openxmlformats.org/officeDocument/2006/relationships/hyperlink" Target="https://optovikufa.ru/product/241462/kabel-usb-microusb-hoco-x59-20m-siniy/" TargetMode="External"/><Relationship Id="rId_hyperlink_1077" Type="http://schemas.openxmlformats.org/officeDocument/2006/relationships/hyperlink" Target="https://optovikufa.ru/product/235063/kabel-usb-microusb-hoco-x65-silikon-podsvetka-belyy/" TargetMode="External"/><Relationship Id="rId_hyperlink_1078" Type="http://schemas.openxmlformats.org/officeDocument/2006/relationships/hyperlink" Target="https://optovikufa.ru/product/237206/kabel-usb-microusb-hoco-x70-krasnyy/" TargetMode="External"/><Relationship Id="rId_hyperlink_1079" Type="http://schemas.openxmlformats.org/officeDocument/2006/relationships/hyperlink" Target="https://optovikufa.ru/product/240761/kabel-usb-microusb-hoco-x73-chernyy/" TargetMode="External"/><Relationship Id="rId_hyperlink_1080" Type="http://schemas.openxmlformats.org/officeDocument/2006/relationships/hyperlink" Target="https://optovikufa.ru/product/236240/kabel-usb-microusb-hoco-x83-1m-silikon-belyy/" TargetMode="External"/><Relationship Id="rId_hyperlink_1081" Type="http://schemas.openxmlformats.org/officeDocument/2006/relationships/hyperlink" Target="https://optovikufa.ru/product/236239/kabel-usb-microusb-hoco-x83-1m-silikon-chernyy/" TargetMode="External"/><Relationship Id="rId_hyperlink_1082" Type="http://schemas.openxmlformats.org/officeDocument/2006/relationships/hyperlink" Target="https://optovikufa.ru/product/236242/kabel-usb-microusb-hoco-x84-1m-silikon-diametr-6mm-chernyy/" TargetMode="External"/><Relationship Id="rId_hyperlink_1083" Type="http://schemas.openxmlformats.org/officeDocument/2006/relationships/hyperlink" Target="https://optovikufa.ru/product/237208/kabel-usb-microusb-hoco-x85-diametr-6mm-belyy/" TargetMode="External"/><Relationship Id="rId_hyperlink_1084" Type="http://schemas.openxmlformats.org/officeDocument/2006/relationships/hyperlink" Target="https://optovikufa.ru/product/242584/kabel-usb-microusb-hoco-x86-belyy/" TargetMode="External"/><Relationship Id="rId_hyperlink_1085" Type="http://schemas.openxmlformats.org/officeDocument/2006/relationships/hyperlink" Target="https://optovikufa.ru/product/242583/kabel-usb-microusb-hoco-x86-chernyy/" TargetMode="External"/><Relationship Id="rId_hyperlink_1086" Type="http://schemas.openxmlformats.org/officeDocument/2006/relationships/hyperlink" Target="https://optovikufa.ru/product/236050/kabel-usb-microusb-hoco-x88-1m-silikon-belyy/" TargetMode="External"/><Relationship Id="rId_hyperlink_1087" Type="http://schemas.openxmlformats.org/officeDocument/2006/relationships/hyperlink" Target="https://optovikufa.ru/product/236051/kabel-usb-microusb-hoco-x88-1m-silikonchernyy/" TargetMode="External"/><Relationship Id="rId_hyperlink_1088" Type="http://schemas.openxmlformats.org/officeDocument/2006/relationships/hyperlink" Target="https://optovikufa.ru/product/239974/kabel-usb-microusb-hoco-x89-chernyy/" TargetMode="External"/><Relationship Id="rId_hyperlink_1089" Type="http://schemas.openxmlformats.org/officeDocument/2006/relationships/hyperlink" Target="https://optovikufa.ru/product/240762/kabel-usb-microusb-hoco-x90-1m-belyy/" TargetMode="External"/><Relationship Id="rId_hyperlink_1090" Type="http://schemas.openxmlformats.org/officeDocument/2006/relationships/hyperlink" Target="https://optovikufa.ru/product/240763/kabel-usb-microusb-hoco-x90-1m-chernyy/" TargetMode="External"/><Relationship Id="rId_hyperlink_1091" Type="http://schemas.openxmlformats.org/officeDocument/2006/relationships/hyperlink" Target="https://optovikufa.ru/product/241466/kabel-usb-type-c-hoco-x70-1m-3a-neylon-krasnyy/" TargetMode="External"/><Relationship Id="rId_hyperlink_1092" Type="http://schemas.openxmlformats.org/officeDocument/2006/relationships/hyperlink" Target="https://optovikufa.ru/product/176972/kabel-usb-microusb-1m-6a-chernyy-rc60-10/" TargetMode="External"/><Relationship Id="rId_hyperlink_1093" Type="http://schemas.openxmlformats.org/officeDocument/2006/relationships/hyperlink" Target="https://optovikufa.ru/product/241179/kabel-usb-microusb-1m-6a-chernyy-rc70-10/" TargetMode="External"/><Relationship Id="rId_hyperlink_1094" Type="http://schemas.openxmlformats.org/officeDocument/2006/relationships/hyperlink" Target="https://optovikufa.ru/product/241180/kabel-usb-microusb-2m-6a-chernyy-rc70-10/" TargetMode="External"/><Relationship Id="rId_hyperlink_1095" Type="http://schemas.openxmlformats.org/officeDocument/2006/relationships/hyperlink" Target="https://optovikufa.ru/product/239005/kabel-type-c-type-c-borofone-bx84-1m-chernyy-30a-pd60w/" TargetMode="External"/><Relationship Id="rId_hyperlink_1096" Type="http://schemas.openxmlformats.org/officeDocument/2006/relationships/hyperlink" Target="https://optovikufa.ru/product/239004/kabel-type-c-type-c-borofone-bx85-1m-ploskiy-belyy-30a-pd60w/" TargetMode="External"/><Relationship Id="rId_hyperlink_1097" Type="http://schemas.openxmlformats.org/officeDocument/2006/relationships/hyperlink" Target="https://optovikufa.ru/product/239003/kabel-type-c-type-c-borofone-bx85-1m-ploskiy-chernyy-30a-pd60w/" TargetMode="External"/><Relationship Id="rId_hyperlink_1098" Type="http://schemas.openxmlformats.org/officeDocument/2006/relationships/hyperlink" Target="https://optovikufa.ru/product/242062/kabel-usb-lightning-borofone-bx93-025m-3a-12w-belyy/" TargetMode="External"/><Relationship Id="rId_hyperlink_1099" Type="http://schemas.openxmlformats.org/officeDocument/2006/relationships/hyperlink" Target="https://optovikufa.ru/product/221227/kabel-usb-type-c-borofone-bx1-belyy/" TargetMode="External"/><Relationship Id="rId_hyperlink_1100" Type="http://schemas.openxmlformats.org/officeDocument/2006/relationships/hyperlink" Target="https://optovikufa.ru/product/218729/kabel-usb-type-c-borofone-bx14-1m-belyy/" TargetMode="External"/><Relationship Id="rId_hyperlink_1101" Type="http://schemas.openxmlformats.org/officeDocument/2006/relationships/hyperlink" Target="https://optovikufa.ru/product/221229/kabel-usb-type-c-borofone-bx17-1m-belyy/" TargetMode="External"/><Relationship Id="rId_hyperlink_1102" Type="http://schemas.openxmlformats.org/officeDocument/2006/relationships/hyperlink" Target="https://optovikufa.ru/product/221230/kabel-usb-type-c-borofone-bx17-1m-chernyy/" TargetMode="External"/><Relationship Id="rId_hyperlink_1103" Type="http://schemas.openxmlformats.org/officeDocument/2006/relationships/hyperlink" Target="https://optovikufa.ru/product/226442/kabel-usb-type-c-borofone-bx18-1m-belyy/" TargetMode="External"/><Relationship Id="rId_hyperlink_1104" Type="http://schemas.openxmlformats.org/officeDocument/2006/relationships/hyperlink" Target="https://optovikufa.ru/product/221233/kabel-usb-type-c-borofone-bx21-1m-opletka-tkan-30a-chernyykrasnyy/" TargetMode="External"/><Relationship Id="rId_hyperlink_1105" Type="http://schemas.openxmlformats.org/officeDocument/2006/relationships/hyperlink" Target="https://optovikufa.ru/product/222547/kabel-usb-type-c-borofone-bx22-1m-silikon-30a-belyy/" TargetMode="External"/><Relationship Id="rId_hyperlink_1106" Type="http://schemas.openxmlformats.org/officeDocument/2006/relationships/hyperlink" Target="https://optovikufa.ru/product/220249/kabel-usb-type-c-borofone-bx24-opletka-neylon-seryy/" TargetMode="External"/><Relationship Id="rId_hyperlink_1107" Type="http://schemas.openxmlformats.org/officeDocument/2006/relationships/hyperlink" Target="https://optovikufa.ru/product/221236/kabel-usb-type-c-borofone-bx28-3a-chernyy-krasnyy/" TargetMode="External"/><Relationship Id="rId_hyperlink_1108" Type="http://schemas.openxmlformats.org/officeDocument/2006/relationships/hyperlink" Target="https://optovikufa.ru/product/220253/kabel-usb-type-c-borofone-bx28-3a-chernyy-seryy/" TargetMode="External"/><Relationship Id="rId_hyperlink_1109" Type="http://schemas.openxmlformats.org/officeDocument/2006/relationships/hyperlink" Target="https://optovikufa.ru/product/223036/kabel-usb-type-c-borofone-bx30-belyy/" TargetMode="External"/><Relationship Id="rId_hyperlink_1110" Type="http://schemas.openxmlformats.org/officeDocument/2006/relationships/hyperlink" Target="https://optovikufa.ru/product/223041/kabel-usb-type-c-borofone-bx30-chernyy/" TargetMode="External"/><Relationship Id="rId_hyperlink_1111" Type="http://schemas.openxmlformats.org/officeDocument/2006/relationships/hyperlink" Target="https://optovikufa.ru/product/223042/kabel-usb-type-c-borofone-bx33-5a-belyy/" TargetMode="External"/><Relationship Id="rId_hyperlink_1112" Type="http://schemas.openxmlformats.org/officeDocument/2006/relationships/hyperlink" Target="https://optovikufa.ru/product/233182/kabel-usb-type-c-borofone-bx43-1m-3a-silikon-belyy/" TargetMode="External"/><Relationship Id="rId_hyperlink_1113" Type="http://schemas.openxmlformats.org/officeDocument/2006/relationships/hyperlink" Target="https://optovikufa.ru/product/237222/kabel-usb-type-c-borofone-bx47-belyy/" TargetMode="External"/><Relationship Id="rId_hyperlink_1114" Type="http://schemas.openxmlformats.org/officeDocument/2006/relationships/hyperlink" Target="https://optovikufa.ru/product/237223/kabel-usb-type-c-borofone-bx47-chernyy/" TargetMode="External"/><Relationship Id="rId_hyperlink_1115" Type="http://schemas.openxmlformats.org/officeDocument/2006/relationships/hyperlink" Target="https://optovikufa.ru/product/233448/kabel-usb-type-c-borofone-bx48-1m-3a-chernyy/" TargetMode="External"/><Relationship Id="rId_hyperlink_1116" Type="http://schemas.openxmlformats.org/officeDocument/2006/relationships/hyperlink" Target="https://optovikufa.ru/product/233444/kabel-usb-type-c-borofone-bx48-belyy/" TargetMode="External"/><Relationship Id="rId_hyperlink_1117" Type="http://schemas.openxmlformats.org/officeDocument/2006/relationships/hyperlink" Target="https://optovikufa.ru/product/242838/kabel-usb-type-c-borofone-bx64-belyy/" TargetMode="External"/><Relationship Id="rId_hyperlink_1118" Type="http://schemas.openxmlformats.org/officeDocument/2006/relationships/hyperlink" Target="https://optovikufa.ru/product/242839/kabel-usb-type-c-borofone-bx64-chernyy/" TargetMode="External"/><Relationship Id="rId_hyperlink_1119" Type="http://schemas.openxmlformats.org/officeDocument/2006/relationships/hyperlink" Target="https://optovikufa.ru/product/235069/kabel-usb-type-c-borofone-bx65-podsvetka-chernyy/" TargetMode="External"/><Relationship Id="rId_hyperlink_1120" Type="http://schemas.openxmlformats.org/officeDocument/2006/relationships/hyperlink" Target="https://optovikufa.ru/product/235070/kabel-usb-type-c-borofone-bx67-krasnyy/" TargetMode="External"/><Relationship Id="rId_hyperlink_1121" Type="http://schemas.openxmlformats.org/officeDocument/2006/relationships/hyperlink" Target="https://optovikufa.ru/product/236226/kabel-usb-type-c-borofone-bx70-1m-chernyy/" TargetMode="External"/><Relationship Id="rId_hyperlink_1122" Type="http://schemas.openxmlformats.org/officeDocument/2006/relationships/hyperlink" Target="https://optovikufa.ru/product/236224/kabel-usb-type-c-borofone-bx80-belyy/" TargetMode="External"/><Relationship Id="rId_hyperlink_1123" Type="http://schemas.openxmlformats.org/officeDocument/2006/relationships/hyperlink" Target="https://optovikufa.ru/product/236223/kabel-usb-type-c-borofone-bx80-chernyy/" TargetMode="External"/><Relationship Id="rId_hyperlink_1124" Type="http://schemas.openxmlformats.org/officeDocument/2006/relationships/hyperlink" Target="https://optovikufa.ru/product/242840/kabel-usb-type-c-borofone-bx82-chernyy/" TargetMode="External"/><Relationship Id="rId_hyperlink_1125" Type="http://schemas.openxmlformats.org/officeDocument/2006/relationships/hyperlink" Target="https://optovikufa.ru/product/240043/kabel-usb-type-c-borofone-bx86-1m-belyy/" TargetMode="External"/><Relationship Id="rId_hyperlink_1126" Type="http://schemas.openxmlformats.org/officeDocument/2006/relationships/hyperlink" Target="https://optovikufa.ru/product/240764/kabel-usb-type-c-borofone-bx891m-zelenyy-30a/" TargetMode="External"/><Relationship Id="rId_hyperlink_1127" Type="http://schemas.openxmlformats.org/officeDocument/2006/relationships/hyperlink" Target="https://optovikufa.ru/product/240766/kabel-usb-type-c-borofone-bx891m-seryy-30a/" TargetMode="External"/><Relationship Id="rId_hyperlink_1128" Type="http://schemas.openxmlformats.org/officeDocument/2006/relationships/hyperlink" Target="https://optovikufa.ru/product/242049/kabel-usb-type-c-borofone-bx901m-fioletovyy-30a/" TargetMode="External"/><Relationship Id="rId_hyperlink_1129" Type="http://schemas.openxmlformats.org/officeDocument/2006/relationships/hyperlink" Target="https://optovikufa.ru/product/242050/kabel-usb-type-c-borofone-bx92-1m-3a-krasnyy/" TargetMode="External"/><Relationship Id="rId_hyperlink_1130" Type="http://schemas.openxmlformats.org/officeDocument/2006/relationships/hyperlink" Target="https://optovikufa.ru/product/242841/kabel-usb-type-c-borofone-bx93-025m-3a100w-belyy/" TargetMode="External"/><Relationship Id="rId_hyperlink_1131" Type="http://schemas.openxmlformats.org/officeDocument/2006/relationships/hyperlink" Target="https://optovikufa.ru/product/242842/kabel-usb-type-c-borofone-bx93-1m-3a-chernyy/" TargetMode="External"/><Relationship Id="rId_hyperlink_1132" Type="http://schemas.openxmlformats.org/officeDocument/2006/relationships/hyperlink" Target="https://optovikufa.ru/product/242843/kabel-usb-type-c-borofone-bx94-1m-silikon-3a-seryy/" TargetMode="External"/><Relationship Id="rId_hyperlink_1133" Type="http://schemas.openxmlformats.org/officeDocument/2006/relationships/hyperlink" Target="https://optovikufa.ru/product/242844/kabel-usb-type-c-borofone-bx98-1m-3a-seryy/" TargetMode="External"/><Relationship Id="rId_hyperlink_1134" Type="http://schemas.openxmlformats.org/officeDocument/2006/relationships/hyperlink" Target="https://optovikufa.ru/product/242845/kabel-usb-type-c-borofone-bx98-1m-3a-chernyy/" TargetMode="External"/><Relationship Id="rId_hyperlink_1135" Type="http://schemas.openxmlformats.org/officeDocument/2006/relationships/hyperlink" Target="https://optovikufa.ru/product/234788/kabel-usb-type-c-dream-bx14-chernyy/" TargetMode="External"/><Relationship Id="rId_hyperlink_1136" Type="http://schemas.openxmlformats.org/officeDocument/2006/relationships/hyperlink" Target="https://optovikufa.ru/product/222075/kabel-usb-type-c-dream-u40-magnitnyy-serebro/" TargetMode="External"/><Relationship Id="rId_hyperlink_1137" Type="http://schemas.openxmlformats.org/officeDocument/2006/relationships/hyperlink" Target="https://optovikufa.ru/product/233601/kabel-usb-type-c-faison-hu31-krasnyy/" TargetMode="External"/><Relationship Id="rId_hyperlink_1138" Type="http://schemas.openxmlformats.org/officeDocument/2006/relationships/hyperlink" Target="https://optovikufa.ru/product/217133/kabel-usb-type-c-hoco-x14-1m-chernyykrasnyy-30a/" TargetMode="External"/><Relationship Id="rId_hyperlink_1139" Type="http://schemas.openxmlformats.org/officeDocument/2006/relationships/hyperlink" Target="https://optovikufa.ru/product/217123/kabel-usb-type-c-hoco-x25-belyy/" TargetMode="External"/><Relationship Id="rId_hyperlink_1140" Type="http://schemas.openxmlformats.org/officeDocument/2006/relationships/hyperlink" Target="https://optovikufa.ru/product/221824/kabel-usb-type-c-hoco-x26-1m-tkan-krasnyy/" TargetMode="External"/><Relationship Id="rId_hyperlink_1141" Type="http://schemas.openxmlformats.org/officeDocument/2006/relationships/hyperlink" Target="https://optovikufa.ru/product/217125/kabel-usb-type-c-hoco-x26-1m-tkan-chernyykrasnyy/" TargetMode="External"/><Relationship Id="rId_hyperlink_1142" Type="http://schemas.openxmlformats.org/officeDocument/2006/relationships/hyperlink" Target="https://optovikufa.ru/product/217126/kabel-usb-type-c-hoco-x26-1m-tkan-chernyy-zoloto/" TargetMode="External"/><Relationship Id="rId_hyperlink_1143" Type="http://schemas.openxmlformats.org/officeDocument/2006/relationships/hyperlink" Target="https://optovikufa.ru/product/220109/kabel-usb-type-c-hoco-x30-chernyy/" TargetMode="External"/><Relationship Id="rId_hyperlink_1144" Type="http://schemas.openxmlformats.org/officeDocument/2006/relationships/hyperlink" Target="https://optovikufa.ru/product/224315/kabel-usb-type-c-hoco-x37-belyy/" TargetMode="External"/><Relationship Id="rId_hyperlink_1145" Type="http://schemas.openxmlformats.org/officeDocument/2006/relationships/hyperlink" Target="https://optovikufa.ru/product/242836/kabel-usb-type-c-hoco-x37-05m-belyy/" TargetMode="External"/><Relationship Id="rId_hyperlink_1146" Type="http://schemas.openxmlformats.org/officeDocument/2006/relationships/hyperlink" Target="https://optovikufa.ru/product/221198/kabel-usb-type-c-hoco-x38-chernyy/" TargetMode="External"/><Relationship Id="rId_hyperlink_1147" Type="http://schemas.openxmlformats.org/officeDocument/2006/relationships/hyperlink" Target="https://optovikufa.ru/product/221199/kabel-usb-type-c-hoco-x40-1m-ploskiy-3a-belyy/" TargetMode="External"/><Relationship Id="rId_hyperlink_1148" Type="http://schemas.openxmlformats.org/officeDocument/2006/relationships/hyperlink" Target="https://optovikufa.ru/product/228774/kabel-usb-type-c-hoco-x59-krasnyy/" TargetMode="External"/><Relationship Id="rId_hyperlink_1149" Type="http://schemas.openxmlformats.org/officeDocument/2006/relationships/hyperlink" Target="https://optovikufa.ru/product/239001/kabel-usb-type-c-hoco-x73-belyy/" TargetMode="External"/><Relationship Id="rId_hyperlink_1150" Type="http://schemas.openxmlformats.org/officeDocument/2006/relationships/hyperlink" Target="https://optovikufa.ru/product/242846/kabel-usb-type-c-hoco-x73-chernyy/" TargetMode="External"/><Relationship Id="rId_hyperlink_1151" Type="http://schemas.openxmlformats.org/officeDocument/2006/relationships/hyperlink" Target="https://optovikufa.ru/product/237233/kabel-usb-type-c-hoco-x84-1m-silikon-diametr-6mm-belyy/" TargetMode="External"/><Relationship Id="rId_hyperlink_1152" Type="http://schemas.openxmlformats.org/officeDocument/2006/relationships/hyperlink" Target="https://optovikufa.ru/product/237229/kabel-usb-type-c-hoco-x85-1m-30a-diametr-6mm-chernyy/" TargetMode="External"/><Relationship Id="rId_hyperlink_1153" Type="http://schemas.openxmlformats.org/officeDocument/2006/relationships/hyperlink" Target="https://optovikufa.ru/product/240045/kabel-usb-type-c-hoco-x93-1m-3a-pd27vt-belyy/" TargetMode="External"/><Relationship Id="rId_hyperlink_1154" Type="http://schemas.openxmlformats.org/officeDocument/2006/relationships/hyperlink" Target="https://optovikufa.ru/product/242847/kabel-usb-type-c-hoco-x94-1m-tkan-krasnyy-30a/" TargetMode="External"/><Relationship Id="rId_hyperlink_1155" Type="http://schemas.openxmlformats.org/officeDocument/2006/relationships/hyperlink" Target="https://optovikufa.ru/product/240048/kabel-usb-type-c-hoco-x95-1m-tkan-chernyy-30a/" TargetMode="External"/><Relationship Id="rId_hyperlink_1156" Type="http://schemas.openxmlformats.org/officeDocument/2006/relationships/hyperlink" Target="https://optovikufa.ru/product/239345/kabel-usb-type-c-hoco-x96-3a-pd27vt-chernyy/" TargetMode="External"/><Relationship Id="rId_hyperlink_1157" Type="http://schemas.openxmlformats.org/officeDocument/2006/relationships/hyperlink" Target="https://optovikufa.ru/product/242849/kabel-usb-type-c-hoco-x96-6a-025m-pd100vt-belyy/" TargetMode="External"/><Relationship Id="rId_hyperlink_1158" Type="http://schemas.openxmlformats.org/officeDocument/2006/relationships/hyperlink" Target="https://optovikufa.ru/product/234789/kabel-usb-type-c-qc30-dream-c50-chernyy/" TargetMode="External"/><Relationship Id="rId_hyperlink_1159" Type="http://schemas.openxmlformats.org/officeDocument/2006/relationships/hyperlink" Target="https://optovikufa.ru/product/225740/konnektor-microusb-dlya-magnitnogo-kabelya-dream-n6/" TargetMode="External"/><Relationship Id="rId_hyperlink_1160" Type="http://schemas.openxmlformats.org/officeDocument/2006/relationships/hyperlink" Target="https://optovikufa.ru/product/225759/konnektor-type-c-dlya-magnitnogo-kabelya-dream/" TargetMode="External"/><Relationship Id="rId_hyperlink_1161" Type="http://schemas.openxmlformats.org/officeDocument/2006/relationships/hyperlink" Target="https://optovikufa.ru/product/220240/kabel-usb-apple-8pin-microusb-type-c-borofone-bx17-chernyy/" TargetMode="External"/><Relationship Id="rId_hyperlink_1162" Type="http://schemas.openxmlformats.org/officeDocument/2006/relationships/hyperlink" Target="https://optovikufa.ru/product/125801/kabel-dlya-zaryadki-nokia-6101/" TargetMode="External"/><Relationship Id="rId_hyperlink_1163" Type="http://schemas.openxmlformats.org/officeDocument/2006/relationships/hyperlink" Target="https://optovikufa.ru/product/241788/adapter-lightning-s-vyhodom-audio-aux-i-zaryadki-8pin-gl046/" TargetMode="External"/><Relationship Id="rId_hyperlink_1164" Type="http://schemas.openxmlformats.org/officeDocument/2006/relationships/hyperlink" Target="https://optovikufa.ru/product/237019/perehodnik-lightning-shteker-35-jack-gnezdo/" TargetMode="External"/><Relationship Id="rId_hyperlink_1165" Type="http://schemas.openxmlformats.org/officeDocument/2006/relationships/hyperlink" Target="https://optovikufa.ru/product/223622/perehodnik-lightning-shteker-35-jack-gnezdo-dream-la01-bluetooth-belyy/" TargetMode="External"/><Relationship Id="rId_hyperlink_1166" Type="http://schemas.openxmlformats.org/officeDocument/2006/relationships/hyperlink" Target="https://optovikufa.ru/product/229511/perehodnik-lightning-shteker-35-jack-gnezdo-kin-179/" TargetMode="External"/><Relationship Id="rId_hyperlink_1167" Type="http://schemas.openxmlformats.org/officeDocument/2006/relationships/hyperlink" Target="https://optovikufa.ru/product/187207/perehodnik-lightning-shteker-35-jack-gnezdo-l01/" TargetMode="External"/><Relationship Id="rId_hyperlink_1168" Type="http://schemas.openxmlformats.org/officeDocument/2006/relationships/hyperlink" Target="https://optovikufa.ru/product/226013/perehodnik-lightning-shteker-lightning-gnezdo-35-jack-gnezdo-dream-ac2-serebro/" TargetMode="External"/><Relationship Id="rId_hyperlink_1169" Type="http://schemas.openxmlformats.org/officeDocument/2006/relationships/hyperlink" Target="https://optovikufa.ru/product/235236/perehodnik-lightning-shteker-lightning-gnezdo-35-jack-gnezdo-dream-c6-bluetooth/" TargetMode="External"/><Relationship Id="rId_hyperlink_1170" Type="http://schemas.openxmlformats.org/officeDocument/2006/relationships/hyperlink" Target="https://optovikufa.ru/product/236748/perehodnik-lightning-shteker-lightning-gnezdo-35-jack-gnezdo-dream-c7/" TargetMode="External"/><Relationship Id="rId_hyperlink_1171" Type="http://schemas.openxmlformats.org/officeDocument/2006/relationships/hyperlink" Target="https://optovikufa.ru/product/234772/perehodnik-lightning-shteker-microusb-gnezdo-dream-al1/" TargetMode="External"/><Relationship Id="rId_hyperlink_1172" Type="http://schemas.openxmlformats.org/officeDocument/2006/relationships/hyperlink" Target="https://optovikufa.ru/product/229513/perehodnik-kabel-lightning-35-jack-jh-023-1m/" TargetMode="External"/><Relationship Id="rId_hyperlink_1173" Type="http://schemas.openxmlformats.org/officeDocument/2006/relationships/hyperlink" Target="https://optovikufa.ru/product/234139/perehodnik-type-c-shteker-35-jack-gnezdo-dream-q1/" TargetMode="External"/><Relationship Id="rId_hyperlink_1174" Type="http://schemas.openxmlformats.org/officeDocument/2006/relationships/hyperlink" Target="https://optovikufa.ru/product/234391/perehodnik-type-c-shteker-35-jack-shteker-type-c-gnezdo-dream-b4/" TargetMode="External"/><Relationship Id="rId_hyperlink_1175" Type="http://schemas.openxmlformats.org/officeDocument/2006/relationships/hyperlink" Target="https://optovikufa.ru/product/236887/perehodnik-type-c-shteker-35-jack-shteker-type-c-razvetvitel-2v1-chernyy-cq011/" TargetMode="External"/><Relationship Id="rId_hyperlink_1176" Type="http://schemas.openxmlformats.org/officeDocument/2006/relationships/hyperlink" Target="https://optovikufa.ru/product/231189/perehodnik-lightning-shteker-microusb-gnezdo/" TargetMode="External"/><Relationship Id="rId_hyperlink_1177" Type="http://schemas.openxmlformats.org/officeDocument/2006/relationships/hyperlink" Target="https://optovikufa.ru/product/144585/perehodnik-lightning-shteker-microusb-gnezdo-ot-sma06/" TargetMode="External"/><Relationship Id="rId_hyperlink_1178" Type="http://schemas.openxmlformats.org/officeDocument/2006/relationships/hyperlink" Target="https://optovikufa.ru/product/221875/perehodnik-lightning-shteker-microusb-gnezdo-paket-belyy-ci-0001-dialog/" TargetMode="External"/><Relationship Id="rId_hyperlink_1179" Type="http://schemas.openxmlformats.org/officeDocument/2006/relationships/hyperlink" Target="https://optovikufa.ru/product/221876/perehodnik-lightning-shteker-microusb-gnezdo-paket-chernyy-ci-0001-dialog/" TargetMode="External"/><Relationship Id="rId_hyperlink_1180" Type="http://schemas.openxmlformats.org/officeDocument/2006/relationships/hyperlink" Target="https://optovikufa.ru/product/242546/perehodnik-lightningtype-c-fc24-35w-fast-charging-ios/" TargetMode="External"/><Relationship Id="rId_hyperlink_1181" Type="http://schemas.openxmlformats.org/officeDocument/2006/relationships/hyperlink" Target="https://optovikufa.ru/product/231190/perehodnik-microusb-shteker-type-c-gnezdo/" TargetMode="External"/><Relationship Id="rId_hyperlink_1182" Type="http://schemas.openxmlformats.org/officeDocument/2006/relationships/hyperlink" Target="https://optovikufa.ru/product/237946/perehodnik-otg-micro-usb-shteker-usb-gnezdo-dream-g1/" TargetMode="External"/><Relationship Id="rId_hyperlink_1183" Type="http://schemas.openxmlformats.org/officeDocument/2006/relationships/hyperlink" Target="https://optovikufa.ru/product/241955/perehodnik-otg-micro-usb-type-c-usb-30-dream-style-z33/" TargetMode="External"/><Relationship Id="rId_hyperlink_1184" Type="http://schemas.openxmlformats.org/officeDocument/2006/relationships/hyperlink" Target="https://optovikufa.ru/product/240241/perehodnik-otg-microusb-shteker-usb-20-gnezdo/" TargetMode="External"/><Relationship Id="rId_hyperlink_1185" Type="http://schemas.openxmlformats.org/officeDocument/2006/relationships/hyperlink" Target="https://optovikufa.ru/product/243116/adapter-otg-hoco-ua5-type-c-usb-converter-chernyy/" TargetMode="External"/><Relationship Id="rId_hyperlink_1186" Type="http://schemas.openxmlformats.org/officeDocument/2006/relationships/hyperlink" Target="https://optovikufa.ru/product/234771/adapter-type-c-type-c-gnezdo-gnezdo-dlya-udlineniya-kabelya-dream-b8/" TargetMode="External"/><Relationship Id="rId_hyperlink_1187" Type="http://schemas.openxmlformats.org/officeDocument/2006/relationships/hyperlink" Target="https://optovikufa.ru/product/241695/perehodnik-otg-sk-08-2v1-micro-usb-shteker-type-c-shteker-usb-20-mf/" TargetMode="External"/><Relationship Id="rId_hyperlink_1188" Type="http://schemas.openxmlformats.org/officeDocument/2006/relationships/hyperlink" Target="https://optovikufa.ru/product/234390/perehodnik-otg-type-c-gnezdo-usb-20-shteker-dream-c3/" TargetMode="External"/><Relationship Id="rId_hyperlink_1189" Type="http://schemas.openxmlformats.org/officeDocument/2006/relationships/hyperlink" Target="https://optovikufa.ru/product/240905/perehodnik-otg-type-c-shteker-usb-20-mf/" TargetMode="External"/><Relationship Id="rId_hyperlink_1190" Type="http://schemas.openxmlformats.org/officeDocument/2006/relationships/hyperlink" Target="https://optovikufa.ru/product/242160/perehodnik-otg-type-c-shteker-usb-gnezdo-015m-sk-07/" TargetMode="External"/><Relationship Id="rId_hyperlink_1191" Type="http://schemas.openxmlformats.org/officeDocument/2006/relationships/hyperlink" Target="https://optovikufa.ru/product/234386/perehodnik-type-c-shteker-type-c-gnezdo-dream-b5/" TargetMode="External"/><Relationship Id="rId_hyperlink_1192" Type="http://schemas.openxmlformats.org/officeDocument/2006/relationships/hyperlink" Target="https://optovikufa.ru/product/234388/perehodnik-type-c-shteker-type-c-shteker-dream-b9/" TargetMode="External"/><Relationship Id="rId_hyperlink_1193" Type="http://schemas.openxmlformats.org/officeDocument/2006/relationships/hyperlink" Target="https://optovikufa.ru/product/229547/perehodnik-usb-shteker-type-c-gnezdo-dream-pd01/" TargetMode="External"/><Relationship Id="rId_hyperlink_1194" Type="http://schemas.openxmlformats.org/officeDocument/2006/relationships/hyperlink" Target="https://optovikufa.ru/product/167121/kabel-usb-dlya-samsung-tab-1m-vitoy-chernyy-paket/" TargetMode="External"/><Relationship Id="rId_hyperlink_1195" Type="http://schemas.openxmlformats.org/officeDocument/2006/relationships/hyperlink" Target="https://optovikufa.ru/product/227709/akkumulyator-dlya-smart-chasov-lq-s1-380-mach-li-ion-chernyy/" TargetMode="External"/><Relationship Id="rId_hyperlink_1196" Type="http://schemas.openxmlformats.org/officeDocument/2006/relationships/hyperlink" Target="https://optovikufa.ru/product/227710/akkumulyator-dlya-smart-chasov-lq-s3/" TargetMode="External"/><Relationship Id="rId_hyperlink_1197" Type="http://schemas.openxmlformats.org/officeDocument/2006/relationships/hyperlink" Target="https://optovikufa.ru/product/222068/kabel-dlya-zaryadki-fitnes-brasleta-mi-band-4-dream/" TargetMode="External"/><Relationship Id="rId_hyperlink_1198" Type="http://schemas.openxmlformats.org/officeDocument/2006/relationships/hyperlink" Target="https://optovikufa.ru/product/231216/kabel-dlya-zaryadki-fitnes-brasleta-mi-band-5-dream/" TargetMode="External"/><Relationship Id="rId_hyperlink_1199" Type="http://schemas.openxmlformats.org/officeDocument/2006/relationships/hyperlink" Target="https://optovikufa.ru/product/225519/kabel-dlya-zaryadki-fitnes-brasleta-xiaomi-mi-band-4/" TargetMode="External"/><Relationship Id="rId_hyperlink_1200" Type="http://schemas.openxmlformats.org/officeDocument/2006/relationships/hyperlink" Target="https://optovikufa.ru/product/225520/kabel-dlya-zaryadki-fitnes-brasleta-xiaomi-mi-band-5/" TargetMode="External"/><Relationship Id="rId_hyperlink_1201" Type="http://schemas.openxmlformats.org/officeDocument/2006/relationships/hyperlink" Target="https://optovikufa.ru/product/232972/remeshok-dlya-apple-watch-38-40-rozovyy/" TargetMode="External"/><Relationship Id="rId_hyperlink_1202" Type="http://schemas.openxmlformats.org/officeDocument/2006/relationships/hyperlink" Target="https://optovikufa.ru/product/232979/remeshok-dlya-apple-watch-42-44-goluboy/" TargetMode="External"/><Relationship Id="rId_hyperlink_1203" Type="http://schemas.openxmlformats.org/officeDocument/2006/relationships/hyperlink" Target="https://optovikufa.ru/product/232980/remeshok-dlya-apple-watch-42-44-krasnyy/" TargetMode="External"/><Relationship Id="rId_hyperlink_1204" Type="http://schemas.openxmlformats.org/officeDocument/2006/relationships/hyperlink" Target="https://optovikufa.ru/product/226281/remeshok-dlya-xiaomi-mi-band-5-chernyy/" TargetMode="External"/><Relationship Id="rId_hyperlink_1205" Type="http://schemas.openxmlformats.org/officeDocument/2006/relationships/hyperlink" Target="https://optovikufa.ru/product/234374/fitnes-braslet-m7-chernyy/" TargetMode="External"/><Relationship Id="rId_hyperlink_1206" Type="http://schemas.openxmlformats.org/officeDocument/2006/relationships/hyperlink" Target="https://optovikufa.ru/product/242120/fitnes-braslet-m8-chernyy/" TargetMode="External"/><Relationship Id="rId_hyperlink_1207" Type="http://schemas.openxmlformats.org/officeDocument/2006/relationships/hyperlink" Target="https://optovikufa.ru/product/220696/bluetooth-aux-adapter-dream-b01-chernyy/" TargetMode="External"/><Relationship Id="rId_hyperlink_1208" Type="http://schemas.openxmlformats.org/officeDocument/2006/relationships/hyperlink" Target="https://optovikufa.ru/product/228591/bluetooth-aux-adapter-dream-b02-belyy/" TargetMode="External"/><Relationship Id="rId_hyperlink_1209" Type="http://schemas.openxmlformats.org/officeDocument/2006/relationships/hyperlink" Target="https://optovikufa.ru/product/221994/bluetooth-aux-adapter-dream-b02-chernyy/" TargetMode="External"/><Relationship Id="rId_hyperlink_1210" Type="http://schemas.openxmlformats.org/officeDocument/2006/relationships/hyperlink" Target="https://optovikufa.ru/product/220697/bluetooth-aux-adapter-dream-b09-chernyy-/" TargetMode="External"/><Relationship Id="rId_hyperlink_1211" Type="http://schemas.openxmlformats.org/officeDocument/2006/relationships/hyperlink" Target="https://optovikufa.ru/product/234796/bluetooth-aux-adapter-dream-bt-530/" TargetMode="External"/><Relationship Id="rId_hyperlink_1212" Type="http://schemas.openxmlformats.org/officeDocument/2006/relationships/hyperlink" Target="https://optovikufa.ru/product/222385/bluetooth-adapter-usb-dream-b14a-bt40/" TargetMode="External"/><Relationship Id="rId_hyperlink_1213" Type="http://schemas.openxmlformats.org/officeDocument/2006/relationships/hyperlink" Target="https://optovikufa.ru/product/242087/bluetooth-adapter-usb-dream-b16-s-kabelem-aux/" TargetMode="External"/><Relationship Id="rId_hyperlink_1214" Type="http://schemas.openxmlformats.org/officeDocument/2006/relationships/hyperlink" Target="https://optovikufa.ru/product/231217/bluetooth-adapter-usb-dream-bt-560-chernyy-belyy/" TargetMode="External"/><Relationship Id="rId_hyperlink_1215" Type="http://schemas.openxmlformats.org/officeDocument/2006/relationships/hyperlink" Target="https://optovikufa.ru/product/228915/bluetooth-adapter-usb-dream-bt12-belyy-/" TargetMode="External"/><Relationship Id="rId_hyperlink_1216" Type="http://schemas.openxmlformats.org/officeDocument/2006/relationships/hyperlink" Target="https://optovikufa.ru/product/221395/bluetooth-adapter-usb-ot-pcb10/" TargetMode="External"/><Relationship Id="rId_hyperlink_1217" Type="http://schemas.openxmlformats.org/officeDocument/2006/relationships/hyperlink" Target="https://optovikufa.ru/product/240988/priemnik-bluetooth-52-audio-resiver-mp3-proigryvatel-konverter-2rca-aux-usb-nfc-podklyuchenie-bls-b21/" TargetMode="External"/><Relationship Id="rId_hyperlink_1218" Type="http://schemas.openxmlformats.org/officeDocument/2006/relationships/hyperlink" Target="https://optovikufa.ru/product/148294/akkumulyator-bl-4c-1020-mah-600mah/" TargetMode="External"/><Relationship Id="rId_hyperlink_1219" Type="http://schemas.openxmlformats.org/officeDocument/2006/relationships/hyperlink" Target="https://optovikufa.ru/product/217603/akkumulyator-bl-4c-890-mah-dream/" TargetMode="External"/><Relationship Id="rId_hyperlink_1220" Type="http://schemas.openxmlformats.org/officeDocument/2006/relationships/hyperlink" Target="https://optovikufa.ru/product/178637/akkumulyator-bl-5b-1020-mah/" TargetMode="External"/><Relationship Id="rId_hyperlink_1221" Type="http://schemas.openxmlformats.org/officeDocument/2006/relationships/hyperlink" Target="https://optovikufa.ru/product/235027/vneshniy-akkumulyator-borofone-bj-3-10000mah-2usbtype-c-chernyy/" TargetMode="External"/><Relationship Id="rId_hyperlink_1222" Type="http://schemas.openxmlformats.org/officeDocument/2006/relationships/hyperlink" Target="https://optovikufa.ru/product/235431/vneshniy-akkumulyator-borofone-bj-9-10000mah-2usbtype-c-belyy/" TargetMode="External"/><Relationship Id="rId_hyperlink_1223" Type="http://schemas.openxmlformats.org/officeDocument/2006/relationships/hyperlink" Target="https://optovikufa.ru/product/234675/vneshniy-akkumulyator-borofone-bj-9-10000mah-2usbtype-c-chernyy/" TargetMode="External"/><Relationship Id="rId_hyperlink_1224" Type="http://schemas.openxmlformats.org/officeDocument/2006/relationships/hyperlink" Target="https://optovikufa.ru/product/239050/vneshniy-akkumulyator-borofone-bj14-10000mah-2a-2usb-type-c-chernyy/" TargetMode="External"/><Relationship Id="rId_hyperlink_1225" Type="http://schemas.openxmlformats.org/officeDocument/2006/relationships/hyperlink" Target="https://optovikufa.ru/product/236127/vneshniy-akkumulyator-borofone-bj16-10000mah-belyy/" TargetMode="External"/><Relationship Id="rId_hyperlink_1226" Type="http://schemas.openxmlformats.org/officeDocument/2006/relationships/hyperlink" Target="https://optovikufa.ru/product/239047/vneshniy-akkumulyator-borofone-bj19-10000mah-usbtype-c-pd-qc30-belyy/" TargetMode="External"/><Relationship Id="rId_hyperlink_1227" Type="http://schemas.openxmlformats.org/officeDocument/2006/relationships/hyperlink" Target="https://optovikufa.ru/product/235025/vneshniy-akkumulyator-borofone-bj19-10000mah-usbtype-c-pd-qc30-chernyy/" TargetMode="External"/><Relationship Id="rId_hyperlink_1228" Type="http://schemas.openxmlformats.org/officeDocument/2006/relationships/hyperlink" Target="https://optovikufa.ru/product/237176/vneshniy-akkumulyator-borofone-bj19b-30000mah-usbmicrousb-pd20w-qc30-chernyy/" TargetMode="External"/><Relationship Id="rId_hyperlink_1229" Type="http://schemas.openxmlformats.org/officeDocument/2006/relationships/hyperlink" Target="https://optovikufa.ru/product/240711/vneshniy-akkumulyator-borofone-bj19b-30000mah-usbtype-c-pd-qc30-belyy/" TargetMode="External"/><Relationship Id="rId_hyperlink_1230" Type="http://schemas.openxmlformats.org/officeDocument/2006/relationships/hyperlink" Target="https://optovikufa.ru/product/240712/vneshniy-akkumulyator-borofone-bj24-10000mah-belyy/" TargetMode="External"/><Relationship Id="rId_hyperlink_1231" Type="http://schemas.openxmlformats.org/officeDocument/2006/relationships/hyperlink" Target="https://optovikufa.ru/product/236133/vneshniy-akkumulyator-borofone-bj24a-20000mah-belyy/" TargetMode="External"/><Relationship Id="rId_hyperlink_1232" Type="http://schemas.openxmlformats.org/officeDocument/2006/relationships/hyperlink" Target="https://optovikufa.ru/product/236132/vneshniy-akkumulyator-borofone-bj24a-20000mah-chernyy/" TargetMode="External"/><Relationship Id="rId_hyperlink_1233" Type="http://schemas.openxmlformats.org/officeDocument/2006/relationships/hyperlink" Target="https://optovikufa.ru/product/240713/vneshniy-akkumulyator-borofone-bj27-10000mah-belyy/" TargetMode="External"/><Relationship Id="rId_hyperlink_1234" Type="http://schemas.openxmlformats.org/officeDocument/2006/relationships/hyperlink" Target="https://optovikufa.ru/product/239286/vneshniy-akkumulyator-borofone-bj9a-20000mah-usbtype-c-belyy/" TargetMode="External"/><Relationship Id="rId_hyperlink_1235" Type="http://schemas.openxmlformats.org/officeDocument/2006/relationships/hyperlink" Target="https://optovikufa.ru/product/239287/vneshniy-akkumulyator-borofone-bj9a-20000mah-usbtype-c-chernyy/" TargetMode="External"/><Relationship Id="rId_hyperlink_1236" Type="http://schemas.openxmlformats.org/officeDocument/2006/relationships/hyperlink" Target="https://optovikufa.ru/product/239044/vneshniy-akkumulyator-hoco-10000mah-j100-2xusb-indikator-input-microusb-type-c-belyy/" TargetMode="External"/><Relationship Id="rId_hyperlink_1237" Type="http://schemas.openxmlformats.org/officeDocument/2006/relationships/hyperlink" Target="https://optovikufa.ru/product/241408/vneshniy-akkumulyator-hoco-10000mah-j101-qc30-pd-20w-belyy/" TargetMode="External"/><Relationship Id="rId_hyperlink_1238" Type="http://schemas.openxmlformats.org/officeDocument/2006/relationships/hyperlink" Target="https://optovikufa.ru/product/239714/vneshniy-akkumulyator-hoco-10000mah-j101-qc30-pd-20w-chernyy/" TargetMode="External"/><Relationship Id="rId_hyperlink_1239" Type="http://schemas.openxmlformats.org/officeDocument/2006/relationships/hyperlink" Target="https://optovikufa.ru/product/236123/vneshniy-akkumulyator-hoco-10000mah-j102-pd-qc30-belyy/" TargetMode="External"/><Relationship Id="rId_hyperlink_1240" Type="http://schemas.openxmlformats.org/officeDocument/2006/relationships/hyperlink" Target="https://optovikufa.ru/product/239715/vneshniy-akkumulyator-hoco-10000mah-j102-pd20vt-qc30-chernyy/" TargetMode="External"/><Relationship Id="rId_hyperlink_1241" Type="http://schemas.openxmlformats.org/officeDocument/2006/relationships/hyperlink" Target="https://optovikufa.ru/product/241409/vneshniy-akkumulyator-hoco-10000mah-j111-usbmicrousb-belyy/" TargetMode="External"/><Relationship Id="rId_hyperlink_1242" Type="http://schemas.openxmlformats.org/officeDocument/2006/relationships/hyperlink" Target="https://optovikufa.ru/product/241410/vneshniy-akkumulyator-hoco-10000mah-j111-usbmicrousb-chernyy/" TargetMode="External"/><Relationship Id="rId_hyperlink_1243" Type="http://schemas.openxmlformats.org/officeDocument/2006/relationships/hyperlink" Target="https://optovikufa.ru/product/242791/vneshniy-akkumulyator-hoco-10000mah-j114-usbmicrousb-chernyy/" TargetMode="External"/><Relationship Id="rId_hyperlink_1244" Type="http://schemas.openxmlformats.org/officeDocument/2006/relationships/hyperlink" Target="https://optovikufa.ru/product/242164/vneshniy-akkumulyator-hoco-10000mah-j118-belyy/" TargetMode="External"/><Relationship Id="rId_hyperlink_1245" Type="http://schemas.openxmlformats.org/officeDocument/2006/relationships/hyperlink" Target="https://optovikufa.ru/product/242163/vneshniy-akkumulyator-hoco-10000mah-j118-chernyy/" TargetMode="External"/><Relationship Id="rId_hyperlink_1246" Type="http://schemas.openxmlformats.org/officeDocument/2006/relationships/hyperlink" Target="https://optovikufa.ru/product/239039/vneshniy-akkumulyator-hoco-10000mah-j91-2xusb-belyy/" TargetMode="External"/><Relationship Id="rId_hyperlink_1247" Type="http://schemas.openxmlformats.org/officeDocument/2006/relationships/hyperlink" Target="https://optovikufa.ru/product/241411/vneshniy-akkumulyator-hoco-10000mah-j91-2xusb-chernyy/" TargetMode="External"/><Relationship Id="rId_hyperlink_1248" Type="http://schemas.openxmlformats.org/officeDocument/2006/relationships/hyperlink" Target="https://optovikufa.ru/product/240425/vneshniy-akkumulyator-hoco-20000mah-j101a-qc30-pd-30-belyy/" TargetMode="External"/><Relationship Id="rId_hyperlink_1249" Type="http://schemas.openxmlformats.org/officeDocument/2006/relationships/hyperlink" Target="https://optovikufa.ru/product/239288/vneshniy-akkumulyator-hoco-20000mah-j101a-qc30-pd-30-chernyy/" TargetMode="External"/><Relationship Id="rId_hyperlink_1250" Type="http://schemas.openxmlformats.org/officeDocument/2006/relationships/hyperlink" Target="https://optovikufa.ru/product/240426/vneshniy-akkumulyator-hoco-20000mah-j102a-pd-qc30-belyy/" TargetMode="External"/><Relationship Id="rId_hyperlink_1251" Type="http://schemas.openxmlformats.org/officeDocument/2006/relationships/hyperlink" Target="https://optovikufa.ru/product/240027/vneshniy-akkumulyator-hoco-20000mah-j108a-pd-qc30-belyy/" TargetMode="External"/><Relationship Id="rId_hyperlink_1252" Type="http://schemas.openxmlformats.org/officeDocument/2006/relationships/hyperlink" Target="https://optovikufa.ru/product/240427/vneshniy-akkumulyator-hoco-20000mah-j59a-2xusb-indikator-chernyy/" TargetMode="External"/><Relationship Id="rId_hyperlink_1253" Type="http://schemas.openxmlformats.org/officeDocument/2006/relationships/hyperlink" Target="https://optovikufa.ru/product/239038/vneshniy-akkumulyator-hoco-20000mah-j91a-2xusb-chernyy/" TargetMode="External"/><Relationship Id="rId_hyperlink_1254" Type="http://schemas.openxmlformats.org/officeDocument/2006/relationships/hyperlink" Target="https://optovikufa.ru/product/240719/vneshniy-akkumulyator-hoco-j87b-30000mah-usbtype-c-displey-qc30-chernyy/" TargetMode="External"/><Relationship Id="rId_hyperlink_1255" Type="http://schemas.openxmlformats.org/officeDocument/2006/relationships/hyperlink" Target="https://optovikufa.ru/product/218910/vneshniy-akkumulyator-ritmix-rpb-5800lt-5800mah-usb-fonar-indikator-magnit-cherno-krasnyy/" TargetMode="External"/><Relationship Id="rId_hyperlink_1256" Type="http://schemas.openxmlformats.org/officeDocument/2006/relationships/hyperlink" Target="https://optovikufa.ru/product/229935/garnitura-hands-free-dream-cla6-bluetooth-belyy/" TargetMode="External"/><Relationship Id="rId_hyperlink_1257" Type="http://schemas.openxmlformats.org/officeDocument/2006/relationships/hyperlink" Target="https://optovikufa.ru/product/221542/garnitura-hands-free-dream-cla6-bluetooth-chernyy/" TargetMode="External"/><Relationship Id="rId_hyperlink_1258" Type="http://schemas.openxmlformats.org/officeDocument/2006/relationships/hyperlink" Target="https://optovikufa.ru/product/237948/garnitura-hands-free-dream-mb10/" TargetMode="External"/><Relationship Id="rId_hyperlink_1259" Type="http://schemas.openxmlformats.org/officeDocument/2006/relationships/hyperlink" Target="https://optovikufa.ru/product/225907/garnitura-besprovodnaya-hands-free-borofone-bc20-bluetooth-belyy/" TargetMode="External"/><Relationship Id="rId_hyperlink_1260" Type="http://schemas.openxmlformats.org/officeDocument/2006/relationships/hyperlink" Target="https://optovikufa.ru/product/221893/garnitura-besprovodnaya-hands-free-borofone-bc21-belyy/" TargetMode="External"/><Relationship Id="rId_hyperlink_1261" Type="http://schemas.openxmlformats.org/officeDocument/2006/relationships/hyperlink" Target="https://optovikufa.ru/product/227694/garnitura-besprovodnaya-hands-free-borofone-bc21-chernyy/" TargetMode="External"/><Relationship Id="rId_hyperlink_1262" Type="http://schemas.openxmlformats.org/officeDocument/2006/relationships/hyperlink" Target="https://optovikufa.ru/product/233978/garnitura-besprovodnaya-hands-free-borofone-bc28-shiny-mini-bluetooth-belyy/" TargetMode="External"/><Relationship Id="rId_hyperlink_1263" Type="http://schemas.openxmlformats.org/officeDocument/2006/relationships/hyperlink" Target="https://optovikufa.ru/product/231864/garnitura-besprovodnaya-hands-free-borofone-bc33-bluetooth-chernyy/" TargetMode="External"/><Relationship Id="rId_hyperlink_1264" Type="http://schemas.openxmlformats.org/officeDocument/2006/relationships/hyperlink" Target="https://optovikufa.ru/product/237919/garnitura-besprovodnaya-hands-free-carlive-cr14-fm-transmitter/" TargetMode="External"/><Relationship Id="rId_hyperlink_1265" Type="http://schemas.openxmlformats.org/officeDocument/2006/relationships/hyperlink" Target="https://optovikufa.ru/product/237918/garnitura-besprovodnaya-hands-free-carlive-cr15-fm-transmitter/" TargetMode="External"/><Relationship Id="rId_hyperlink_1266" Type="http://schemas.openxmlformats.org/officeDocument/2006/relationships/hyperlink" Target="https://optovikufa.ru/product/228153/garnitura-besprovodnaya-hands-free-ezra-be03/" TargetMode="External"/><Relationship Id="rId_hyperlink_1267" Type="http://schemas.openxmlformats.org/officeDocument/2006/relationships/hyperlink" Target="https://optovikufa.ru/product/220092/garnitura-besprovodnaya-hands-free-hoco-e36-belyy/" TargetMode="External"/><Relationship Id="rId_hyperlink_1268" Type="http://schemas.openxmlformats.org/officeDocument/2006/relationships/hyperlink" Target="https://optovikufa.ru/product/236056/garnitura-besprovodnaya-hands-free-hoco-e57-bluetooth-chernyy/" TargetMode="External"/><Relationship Id="rId_hyperlink_1269" Type="http://schemas.openxmlformats.org/officeDocument/2006/relationships/hyperlink" Target="https://optovikufa.ru/product/242034/garnitura-besprovodnaya-hands-free-hoco-e60-bluetooth-belyy/" TargetMode="External"/><Relationship Id="rId_hyperlink_1270" Type="http://schemas.openxmlformats.org/officeDocument/2006/relationships/hyperlink" Target="https://optovikufa.ru/product/237182/garnitura-besprovodnaya-hands-free-hoco-e61-belyy/" TargetMode="External"/><Relationship Id="rId_hyperlink_1271" Type="http://schemas.openxmlformats.org/officeDocument/2006/relationships/hyperlink" Target="https://optovikufa.ru/product/236057/garnitura-besprovodnaya-hands-free-hoco-e63-belyy/" TargetMode="External"/><Relationship Id="rId_hyperlink_1272" Type="http://schemas.openxmlformats.org/officeDocument/2006/relationships/hyperlink" Target="https://optovikufa.ru/product/234421/garnitura-besprovodnaya-hands-free-hoco-e64-chernyy/" TargetMode="External"/><Relationship Id="rId_hyperlink_1273" Type="http://schemas.openxmlformats.org/officeDocument/2006/relationships/hyperlink" Target="https://optovikufa.ru/product/237136/mikrofon-besprovodnoy-petlichnyy-k9-lihting/" TargetMode="External"/><Relationship Id="rId_hyperlink_1274" Type="http://schemas.openxmlformats.org/officeDocument/2006/relationships/hyperlink" Target="https://optovikufa.ru/product/241326/mikrofon-petlichnyy-razem-lighnting-15m-ot-sml01/" TargetMode="External"/><Relationship Id="rId_hyperlink_1275" Type="http://schemas.openxmlformats.org/officeDocument/2006/relationships/hyperlink" Target="https://optovikufa.ru/product/241327/mikrofon-petlichnyy-razem-type-c-15m-ot-sml01/" TargetMode="External"/><Relationship Id="rId_hyperlink_1276" Type="http://schemas.openxmlformats.org/officeDocument/2006/relationships/hyperlink" Target="https://optovikufa.ru/product/233006/mikrofon-petlichnyy-dlya-smartfona-shteker-jack-35-mm-4-pin-dlina-15-m-kreplenie-na-odezhdu/" TargetMode="External"/><Relationship Id="rId_hyperlink_1277" Type="http://schemas.openxmlformats.org/officeDocument/2006/relationships/hyperlink" Target="https://optovikufa.ru/product/233004/mikrofon-petlichnyy-kondensatornyy-shteker-lightning-dlina-15-m-kreplenie-na-odezhdu/" TargetMode="External"/><Relationship Id="rId_hyperlink_1278" Type="http://schemas.openxmlformats.org/officeDocument/2006/relationships/hyperlink" Target="https://optovikufa.ru/product/233005/mikrofon-petlichnyy-kondensatornyy-shteker-type-c-dlina-15-m-kreplenie-na-odezhdu/" TargetMode="External"/><Relationship Id="rId_hyperlink_1279" Type="http://schemas.openxmlformats.org/officeDocument/2006/relationships/hyperlink" Target="https://optovikufa.ru/product/242785/azu-na-pd-borofone-bz24-pd20vt-kabel-type-c-lightning-qc30-chernyy/" TargetMode="External"/><Relationship Id="rId_hyperlink_1280" Type="http://schemas.openxmlformats.org/officeDocument/2006/relationships/hyperlink" Target="https://optovikufa.ru/product/241894/azu-na-pd2usb-dream-ch20-skorostnaya-zaryadka-chernyy/" TargetMode="External"/><Relationship Id="rId_hyperlink_1281" Type="http://schemas.openxmlformats.org/officeDocument/2006/relationships/hyperlink" Target="https://optovikufa.ru/product/232695/azu-na-pdusb-borofone-bz14a-belyy/" TargetMode="External"/><Relationship Id="rId_hyperlink_1282" Type="http://schemas.openxmlformats.org/officeDocument/2006/relationships/hyperlink" Target="https://optovikufa.ru/product/231753/azu-na-pdusb-dream-ch17-skorostnaya-zaryadka-chernyy/" TargetMode="External"/><Relationship Id="rId_hyperlink_1283" Type="http://schemas.openxmlformats.org/officeDocument/2006/relationships/hyperlink" Target="https://optovikufa.ru/product/230469/azu-na-pdusb-dream-ch18-skorostnaya-zaryadka-cherno-belyy/" TargetMode="External"/><Relationship Id="rId_hyperlink_1284" Type="http://schemas.openxmlformats.org/officeDocument/2006/relationships/hyperlink" Target="https://optovikufa.ru/product/242788/azu-na-pdusb-hoco-nz8-43w-qc30-siniy/" TargetMode="External"/><Relationship Id="rId_hyperlink_1285" Type="http://schemas.openxmlformats.org/officeDocument/2006/relationships/hyperlink" Target="https://optovikufa.ru/product/229301/azu-na-2-usb-borofone-bz12a-qc30-belyy/" TargetMode="External"/><Relationship Id="rId_hyperlink_1286" Type="http://schemas.openxmlformats.org/officeDocument/2006/relationships/hyperlink" Target="https://optovikufa.ru/product/240021/azu-na-2-usb-borofone-bz19b-qc30-zoloto/" TargetMode="External"/><Relationship Id="rId_hyperlink_1287" Type="http://schemas.openxmlformats.org/officeDocument/2006/relationships/hyperlink" Target="https://optovikufa.ru/product/242789/azu-na-2-usb-borofone-bz19b-qc30-siniy/" TargetMode="External"/><Relationship Id="rId_hyperlink_1288" Type="http://schemas.openxmlformats.org/officeDocument/2006/relationships/hyperlink" Target="https://optovikufa.ru/product/225447/azu-na-2-usb-dream-c058-qc30-chernyy/" TargetMode="External"/><Relationship Id="rId_hyperlink_1289" Type="http://schemas.openxmlformats.org/officeDocument/2006/relationships/hyperlink" Target="https://optovikufa.ru/product/241896/azu-na-2-usb-dream-ch22-qc30-belyy/" TargetMode="External"/><Relationship Id="rId_hyperlink_1290" Type="http://schemas.openxmlformats.org/officeDocument/2006/relationships/hyperlink" Target="https://optovikufa.ru/product/241897/azu-na-2-usb-dream-ch22-qc30-chernyy/" TargetMode="External"/><Relationship Id="rId_hyperlink_1291" Type="http://schemas.openxmlformats.org/officeDocument/2006/relationships/hyperlink" Target="https://optovikufa.ru/product/241608/azu-na-2-usb-dream-ch23-qc30-belyy-zolotoy/" TargetMode="External"/><Relationship Id="rId_hyperlink_1292" Type="http://schemas.openxmlformats.org/officeDocument/2006/relationships/hyperlink" Target="https://optovikufa.ru/product/241607/azu-na-2-usb-dream-ch23-qc30-cherno-belyy/" TargetMode="External"/><Relationship Id="rId_hyperlink_1293" Type="http://schemas.openxmlformats.org/officeDocument/2006/relationships/hyperlink" Target="https://optovikufa.ru/product/228586/azu-na-2-usb-dream-hm01-chernyy/" TargetMode="External"/><Relationship Id="rId_hyperlink_1294" Type="http://schemas.openxmlformats.org/officeDocument/2006/relationships/hyperlink" Target="https://optovikufa.ru/product/224092/azu-na-2-usb-dream-s39-led-displey-chernyy/" TargetMode="External"/><Relationship Id="rId_hyperlink_1295" Type="http://schemas.openxmlformats.org/officeDocument/2006/relationships/hyperlink" Target="https://optovikufa.ru/product/228737/azu-na-2-usb-dream-sm02-qc-30-belyy/" TargetMode="External"/><Relationship Id="rId_hyperlink_1296" Type="http://schemas.openxmlformats.org/officeDocument/2006/relationships/hyperlink" Target="https://optovikufa.ru/product/228743/azu-na-2-usb-dream-sm06-qc30/" TargetMode="External"/><Relationship Id="rId_hyperlink_1297" Type="http://schemas.openxmlformats.org/officeDocument/2006/relationships/hyperlink" Target="https://optovikufa.ru/product/225448/azu-na-2-usb-dream-sm07-belyy/" TargetMode="External"/><Relationship Id="rId_hyperlink_1298" Type="http://schemas.openxmlformats.org/officeDocument/2006/relationships/hyperlink" Target="https://optovikufa.ru/product/226009/azu-na-2-usb-dream-sm09-sovmestim-s-vaz/" TargetMode="External"/><Relationship Id="rId_hyperlink_1299" Type="http://schemas.openxmlformats.org/officeDocument/2006/relationships/hyperlink" Target="https://optovikufa.ru/product/124541/azu-na-2-usb-griffing/" TargetMode="External"/><Relationship Id="rId_hyperlink_1300" Type="http://schemas.openxmlformats.org/officeDocument/2006/relationships/hyperlink" Target="https://optovikufa.ru/product/240022/azu-na-2-usb-hoco-z47-qc30-20w-siniy/" TargetMode="External"/><Relationship Id="rId_hyperlink_1301" Type="http://schemas.openxmlformats.org/officeDocument/2006/relationships/hyperlink" Target="https://optovikufa.ru/product/242790/azu-na-2-usb-hoco-z47a-qc30-20w-siniy/" TargetMode="External"/><Relationship Id="rId_hyperlink_1302" Type="http://schemas.openxmlformats.org/officeDocument/2006/relationships/hyperlink" Target="https://optovikufa.ru/product/132083/azu-na-2-usb-v-15-kvadratnoe-osnovanie/" TargetMode="External"/><Relationship Id="rId_hyperlink_1303" Type="http://schemas.openxmlformats.org/officeDocument/2006/relationships/hyperlink" Target="https://optovikufa.ru/product/236175/azu-na-usb-borofone-bz19a-qc30-zoloto/" TargetMode="External"/><Relationship Id="rId_hyperlink_1304" Type="http://schemas.openxmlformats.org/officeDocument/2006/relationships/hyperlink" Target="https://optovikufa.ru/product/239051/azu-na-usb-borofone-bz19a-qc30-siniy/" TargetMode="External"/><Relationship Id="rId_hyperlink_1305" Type="http://schemas.openxmlformats.org/officeDocument/2006/relationships/hyperlink" Target="https://optovikufa.ru/product/241609/azu-na-usb-dream-ch23-qc30-belyy-krasnyy/" TargetMode="External"/><Relationship Id="rId_hyperlink_1306" Type="http://schemas.openxmlformats.org/officeDocument/2006/relationships/hyperlink" Target="https://optovikufa.ru/product/217430/azu-na-usb-dream-ch7-chernyy-24a/" TargetMode="External"/><Relationship Id="rId_hyperlink_1307" Type="http://schemas.openxmlformats.org/officeDocument/2006/relationships/hyperlink" Target="https://optovikufa.ru/product/226232/azu-na-usb-dream-sa01-qc30/" TargetMode="External"/><Relationship Id="rId_hyperlink_1308" Type="http://schemas.openxmlformats.org/officeDocument/2006/relationships/hyperlink" Target="https://optovikufa.ru/product/221526/azu-na-usb-dream-sm03-belo-chernyy-qc30/" TargetMode="External"/><Relationship Id="rId_hyperlink_1309" Type="http://schemas.openxmlformats.org/officeDocument/2006/relationships/hyperlink" Target="https://optovikufa.ru/product/221810/azu-na-usb-hoco-z32-3000ma-qc30-seryy/" TargetMode="External"/><Relationship Id="rId_hyperlink_1310" Type="http://schemas.openxmlformats.org/officeDocument/2006/relationships/hyperlink" Target="https://optovikufa.ru/product/221811/azu-na-usb-hoco-z32-3000ma-qc30-chernyy/" TargetMode="External"/><Relationship Id="rId_hyperlink_1311" Type="http://schemas.openxmlformats.org/officeDocument/2006/relationships/hyperlink" Target="https://optovikufa.ru/product/239279/azu-na-usb-hoco-z43-qc30-chernyy/" TargetMode="External"/><Relationship Id="rId_hyperlink_1312" Type="http://schemas.openxmlformats.org/officeDocument/2006/relationships/hyperlink" Target="https://optovikufa.ru/product/239707/azu-na-usb-hoco-z49a-qc30-seryy/" TargetMode="External"/><Relationship Id="rId_hyperlink_1313" Type="http://schemas.openxmlformats.org/officeDocument/2006/relationships/hyperlink" Target="https://optovikufa.ru/product/165889/azu-na-usb-pulya-1000mah-upak-5-sht/" TargetMode="External"/><Relationship Id="rId_hyperlink_1314" Type="http://schemas.openxmlformats.org/officeDocument/2006/relationships/hyperlink" Target="https://optovikufa.ru/product/158552/azu-s-usb-portom-2-h-usb-nokoko-09-belyy/" TargetMode="External"/><Relationship Id="rId_hyperlink_1315" Type="http://schemas.openxmlformats.org/officeDocument/2006/relationships/hyperlink" Target="https://optovikufa.ru/product/135279/azu-amt-dlya-siemens-c55s55/" TargetMode="External"/><Relationship Id="rId_hyperlink_1316" Type="http://schemas.openxmlformats.org/officeDocument/2006/relationships/hyperlink" Target="https://optovikufa.ru/product/135274/azu-avs-cnk-6101-dlya-nokia-a80516s/" TargetMode="External"/><Relationship Id="rId_hyperlink_1317" Type="http://schemas.openxmlformats.org/officeDocument/2006/relationships/hyperlink" Target="https://optovikufa.ru/product/150156/azu-glossar-dlya-nokia-6101-1200/" TargetMode="External"/><Relationship Id="rId_hyperlink_1318" Type="http://schemas.openxmlformats.org/officeDocument/2006/relationships/hyperlink" Target="https://optovikufa.ru/product/135269/azu-lg-3000-v-pakete/" TargetMode="External"/><Relationship Id="rId_hyperlink_1319" Type="http://schemas.openxmlformats.org/officeDocument/2006/relationships/hyperlink" Target="https://optovikufa.ru/product/135270/azu-lg-71007020-v-pakete/" TargetMode="External"/><Relationship Id="rId_hyperlink_1320" Type="http://schemas.openxmlformats.org/officeDocument/2006/relationships/hyperlink" Target="https://optovikufa.ru/product/135272/azu-motorola-t180t192300330350t2288-v-pakete/" TargetMode="External"/><Relationship Id="rId_hyperlink_1321" Type="http://schemas.openxmlformats.org/officeDocument/2006/relationships/hyperlink" Target="https://optovikufa.ru/product/135273/azu-motorola-t190t191c200/" TargetMode="External"/><Relationship Id="rId_hyperlink_1322" Type="http://schemas.openxmlformats.org/officeDocument/2006/relationships/hyperlink" Target="https://optovikufa.ru/product/131338/azu-texet-tpc-1020-dlya-nokia-6101-500ma/" TargetMode="External"/><Relationship Id="rId_hyperlink_1323" Type="http://schemas.openxmlformats.org/officeDocument/2006/relationships/hyperlink" Target="https://optovikufa.ru/product/175441/azu-dlya-samsung-gal-tab-defender-sam-01-5v1a/" TargetMode="External"/><Relationship Id="rId_hyperlink_1324" Type="http://schemas.openxmlformats.org/officeDocument/2006/relationships/hyperlink" Target="https://optovikufa.ru/product/127173/azu-dlya-samsung-galaxy-tab-s-itech-sgt-01/" TargetMode="External"/><Relationship Id="rId_hyperlink_1325" Type="http://schemas.openxmlformats.org/officeDocument/2006/relationships/hyperlink" Target="https://optovikufa.ru/product/131335/azu-dlya-samsung-galaxy-tab-texet-21a-tpc-1028/" TargetMode="External"/><Relationship Id="rId_hyperlink_1326" Type="http://schemas.openxmlformats.org/officeDocument/2006/relationships/hyperlink" Target="https://optovikufa.ru/product/231199/azu-s-usb-portom-2-h-usb-gnezdo-prikurivatelya-ko-30/" TargetMode="External"/><Relationship Id="rId_hyperlink_1327" Type="http://schemas.openxmlformats.org/officeDocument/2006/relationships/hyperlink" Target="https://optovikufa.ru/product/132084/azu-s-usb-portom-2-h-usb-v-15-krugloe-osnovanie/" TargetMode="External"/><Relationship Id="rId_hyperlink_1328" Type="http://schemas.openxmlformats.org/officeDocument/2006/relationships/hyperlink" Target="https://optovikufa.ru/product/236750/azu-na-miniusb-liberty-project/" TargetMode="External"/><Relationship Id="rId_hyperlink_1329" Type="http://schemas.openxmlformats.org/officeDocument/2006/relationships/hyperlink" Target="https://optovikufa.ru/product/237307/azu-na-pdusb-borofone-bz18a-qc30-kabel-type-c-lightning-belyy/" TargetMode="External"/><Relationship Id="rId_hyperlink_1330" Type="http://schemas.openxmlformats.org/officeDocument/2006/relationships/hyperlink" Target="https://optovikufa.ru/product/241893/azu-na-pdusb-dream-ch21-skorostnaya-zaryadka-chernyy/" TargetMode="External"/><Relationship Id="rId_hyperlink_1331" Type="http://schemas.openxmlformats.org/officeDocument/2006/relationships/hyperlink" Target="https://optovikufa.ru/product/242575/azu-hoco-z48-qc30-pd40w-kabel-type-c-type-c-metal-seryy/" TargetMode="External"/><Relationship Id="rId_hyperlink_1332" Type="http://schemas.openxmlformats.org/officeDocument/2006/relationships/hyperlink" Target="https://optovikufa.ru/product/242786/azu-na-2-pd-hoco-z48-qc30-pd40w-kabel-type-c-lightning-seryy/" TargetMode="External"/><Relationship Id="rId_hyperlink_1333" Type="http://schemas.openxmlformats.org/officeDocument/2006/relationships/hyperlink" Target="https://optovikufa.ru/product/239705/azu-na-pdusb-borofone-bz18a-qc30-kabel-type-c-type-c-belyy/" TargetMode="External"/><Relationship Id="rId_hyperlink_1334" Type="http://schemas.openxmlformats.org/officeDocument/2006/relationships/hyperlink" Target="https://optovikufa.ru/product/237308/azu-na-pdusb-borofone-bz18a-qc30-kabel-type-c-type-c-chernyy/" TargetMode="External"/><Relationship Id="rId_hyperlink_1335" Type="http://schemas.openxmlformats.org/officeDocument/2006/relationships/hyperlink" Target="https://optovikufa.ru/product/240709/azu-na-pdusb-borofone-bz20-qc30-kabel-type-c-chernyy/" TargetMode="External"/><Relationship Id="rId_hyperlink_1336" Type="http://schemas.openxmlformats.org/officeDocument/2006/relationships/hyperlink" Target="https://optovikufa.ru/product/242781/azu-na-pdusb-borofone-bz25-36w-qc30-kabel-type-c-type-c-chernyy/" TargetMode="External"/><Relationship Id="rId_hyperlink_1337" Type="http://schemas.openxmlformats.org/officeDocument/2006/relationships/hyperlink" Target="https://optovikufa.ru/product/242783/azu-na-pdusb-hoco-nz8-43w-qc30-kabel-type-c-siniy/" TargetMode="External"/><Relationship Id="rId_hyperlink_1338" Type="http://schemas.openxmlformats.org/officeDocument/2006/relationships/hyperlink" Target="https://optovikufa.ru/product/241227/azu-na-pdusb-hoco-z46a-qc30-kabel-type-c-siniy/" TargetMode="External"/><Relationship Id="rId_hyperlink_1339" Type="http://schemas.openxmlformats.org/officeDocument/2006/relationships/hyperlink" Target="https://optovikufa.ru/product/242784/azu-na-pdusb-hoco-z50-qc30-kabel-type-c-type-c-siniy/" TargetMode="External"/><Relationship Id="rId_hyperlink_1340" Type="http://schemas.openxmlformats.org/officeDocument/2006/relationships/hyperlink" Target="https://optovikufa.ru/product/177703/azu-na-lightning-2-x-usb-sy-11-2100ma/" TargetMode="External"/><Relationship Id="rId_hyperlink_1341" Type="http://schemas.openxmlformats.org/officeDocument/2006/relationships/hyperlink" Target="https://optovikufa.ru/product/150153/azu-na-lightning-glossar/" TargetMode="External"/><Relationship Id="rId_hyperlink_1342" Type="http://schemas.openxmlformats.org/officeDocument/2006/relationships/hyperlink" Target="https://optovikufa.ru/product/230566/azu-na-2-usb-borofone-bz12-kabel-lightning-belyy/" TargetMode="External"/><Relationship Id="rId_hyperlink_1343" Type="http://schemas.openxmlformats.org/officeDocument/2006/relationships/hyperlink" Target="https://optovikufa.ru/product/230277/azu-na-2-usb-borofone-bz14-kabel-lightning-chernyy/" TargetMode="External"/><Relationship Id="rId_hyperlink_1344" Type="http://schemas.openxmlformats.org/officeDocument/2006/relationships/hyperlink" Target="https://optovikufa.ru/product/236179/azu-na-2-usb-borofone-bz19-kabel-lightning-siniy/" TargetMode="External"/><Relationship Id="rId_hyperlink_1345" Type="http://schemas.openxmlformats.org/officeDocument/2006/relationships/hyperlink" Target="https://optovikufa.ru/product/236177/azu-na-2-usb-borofone-bz19-kabel-lightning-chernyy/" TargetMode="External"/><Relationship Id="rId_hyperlink_1346" Type="http://schemas.openxmlformats.org/officeDocument/2006/relationships/hyperlink" Target="https://optovikufa.ru/product/236178/azu-na-2-usb-borofone-bz19-qc30-lightning-zoloto/" TargetMode="External"/><Relationship Id="rId_hyperlink_1347" Type="http://schemas.openxmlformats.org/officeDocument/2006/relationships/hyperlink" Target="https://optovikufa.ru/product/231130/azu-na-2-usb-hoco-nz4-4800ma-qc-30-kabel-lightning-chernyy/" TargetMode="External"/><Relationship Id="rId_hyperlink_1348" Type="http://schemas.openxmlformats.org/officeDocument/2006/relationships/hyperlink" Target="https://optovikufa.ru/product/218982/azu-na-2-usb-hoco-z1-2400ma-kabel-lightning-chernyy/" TargetMode="External"/><Relationship Id="rId_hyperlink_1349" Type="http://schemas.openxmlformats.org/officeDocument/2006/relationships/hyperlink" Target="https://optovikufa.ru/product/221806/azu-na-2-usb-hoco-z23-2400ma-kabel-lightning-belyy/" TargetMode="External"/><Relationship Id="rId_hyperlink_1350" Type="http://schemas.openxmlformats.org/officeDocument/2006/relationships/hyperlink" Target="https://optovikufa.ru/product/218798/azu-na-2-usb-hoco-z2a-2400ma-kabel-lightning-belyy/" TargetMode="External"/><Relationship Id="rId_hyperlink_1351" Type="http://schemas.openxmlformats.org/officeDocument/2006/relationships/hyperlink" Target="https://optovikufa.ru/product/241401/azu-na-2-usb-hoco-z49-2400ma-kabel-lightning-seryy/" TargetMode="External"/><Relationship Id="rId_hyperlink_1352" Type="http://schemas.openxmlformats.org/officeDocument/2006/relationships/hyperlink" Target="https://optovikufa.ru/product/241402/azu-na-2-usb-hoco-z49-2400ma-kabel-lightning-chernyy/" TargetMode="External"/><Relationship Id="rId_hyperlink_1353" Type="http://schemas.openxmlformats.org/officeDocument/2006/relationships/hyperlink" Target="https://optovikufa.ru/product/230564/azu-na-lightning-hoco-z14-3400ma-usb-port-belyy/" TargetMode="External"/><Relationship Id="rId_hyperlink_1354" Type="http://schemas.openxmlformats.org/officeDocument/2006/relationships/hyperlink" Target="https://optovikufa.ru/product/229681/azu-s-usb-portom-belkinkabel-lightning-belyy/" TargetMode="External"/><Relationship Id="rId_hyperlink_1355" Type="http://schemas.openxmlformats.org/officeDocument/2006/relationships/hyperlink" Target="https://optovikufa.ru/product/217295/azu-na-2-usb-belkin-kabel-vitoy-microusb-chernyy/" TargetMode="External"/><Relationship Id="rId_hyperlink_1356" Type="http://schemas.openxmlformats.org/officeDocument/2006/relationships/hyperlink" Target="https://optovikufa.ru/product/233163/azu-na-2-usb-borofone-bz14-kabel-micro-belyy/" TargetMode="External"/><Relationship Id="rId_hyperlink_1357" Type="http://schemas.openxmlformats.org/officeDocument/2006/relationships/hyperlink" Target="https://optovikufa.ru/product/233164/azu-na-2-usb-borofone-bz14-kabel-micro-chernyy/" TargetMode="External"/><Relationship Id="rId_hyperlink_1358" Type="http://schemas.openxmlformats.org/officeDocument/2006/relationships/hyperlink" Target="https://optovikufa.ru/product/229338/azu-na-2-usb-borofone-bz15-kabel-microusb-chernyy/" TargetMode="External"/><Relationship Id="rId_hyperlink_1359" Type="http://schemas.openxmlformats.org/officeDocument/2006/relationships/hyperlink" Target="https://optovikufa.ru/product/242777/azu-na-2-usb-borofone-bz17-kabel-micro-chernyy/" TargetMode="External"/><Relationship Id="rId_hyperlink_1360" Type="http://schemas.openxmlformats.org/officeDocument/2006/relationships/hyperlink" Target="https://optovikufa.ru/product/236182/azu-na-2-usb-borofone-bz19-kabel-microusb-zoloto/" TargetMode="External"/><Relationship Id="rId_hyperlink_1361" Type="http://schemas.openxmlformats.org/officeDocument/2006/relationships/hyperlink" Target="https://optovikufa.ru/product/237168/azu-na-2-usb-borofone-bz19-kabel-microusb-chernyy/" TargetMode="External"/><Relationship Id="rId_hyperlink_1362" Type="http://schemas.openxmlformats.org/officeDocument/2006/relationships/hyperlink" Target="https://optovikufa.ru/product/241383/azu-na-2-usb-borofone-bz19b-36w-qc30-kabel-microusb-siniy/" TargetMode="External"/><Relationship Id="rId_hyperlink_1363" Type="http://schemas.openxmlformats.org/officeDocument/2006/relationships/hyperlink" Target="https://optovikufa.ru/product/241388/azu-na-2-usb-borofone-bz21a-qc30-kabel-microusb-36w-chernyy/" TargetMode="External"/><Relationship Id="rId_hyperlink_1364" Type="http://schemas.openxmlformats.org/officeDocument/2006/relationships/hyperlink" Target="https://optovikufa.ru/product/218572/azu-na-2-usb-hoco-z27-2400ma-kabel-microusb-belyy/" TargetMode="External"/><Relationship Id="rId_hyperlink_1365" Type="http://schemas.openxmlformats.org/officeDocument/2006/relationships/hyperlink" Target="https://optovikufa.ru/product/217334/azu-na-2-usb-hoco-z2a-2400ma-kabel-microusb-belyy/" TargetMode="External"/><Relationship Id="rId_hyperlink_1366" Type="http://schemas.openxmlformats.org/officeDocument/2006/relationships/hyperlink" Target="https://optovikufa.ru/product/229062/azu-na-2-usb-hoco-z36-2400ma-kabel-microusb-belyy/" TargetMode="External"/><Relationship Id="rId_hyperlink_1367" Type="http://schemas.openxmlformats.org/officeDocument/2006/relationships/hyperlink" Target="https://optovikufa.ru/product/225342/azu-na-2-usb-hoco-z36-2400ma-kabel-microusb-chernyy/" TargetMode="External"/><Relationship Id="rId_hyperlink_1368" Type="http://schemas.openxmlformats.org/officeDocument/2006/relationships/hyperlink" Target="https://optovikufa.ru/product/235022/azu-na-2-usb-hoco-z39-3400ma-qc-30-kabel-microusb-siniy/" TargetMode="External"/><Relationship Id="rId_hyperlink_1369" Type="http://schemas.openxmlformats.org/officeDocument/2006/relationships/hyperlink" Target="https://optovikufa.ru/product/228757/azu-na-2-usb-hoco-z39-3400ma-qc-30-kabel-microusb-chernyy/" TargetMode="External"/><Relationship Id="rId_hyperlink_1370" Type="http://schemas.openxmlformats.org/officeDocument/2006/relationships/hyperlink" Target="https://optovikufa.ru/product/242778/azu-na-2-usb-hoco-z40-2400ma-kabel-microusb-belyy/" TargetMode="External"/><Relationship Id="rId_hyperlink_1371" Type="http://schemas.openxmlformats.org/officeDocument/2006/relationships/hyperlink" Target="https://optovikufa.ru/product/230178/azu-na-2-usb-hoco-z40-2400ma-kabel-microusb-chernyy/" TargetMode="External"/><Relationship Id="rId_hyperlink_1372" Type="http://schemas.openxmlformats.org/officeDocument/2006/relationships/hyperlink" Target="https://optovikufa.ru/product/242712/azu-na-2-usb-hoco-z47-qc-30-kabel-microusb-chernyy/" TargetMode="External"/><Relationship Id="rId_hyperlink_1373" Type="http://schemas.openxmlformats.org/officeDocument/2006/relationships/hyperlink" Target="https://optovikufa.ru/product/240016/azu-na-2-usb-hoco-z49-2400ma-kabel-microusb-seryy/" TargetMode="External"/><Relationship Id="rId_hyperlink_1374" Type="http://schemas.openxmlformats.org/officeDocument/2006/relationships/hyperlink" Target="https://optovikufa.ru/product/240015/azu-na-2-usb-hoco-z49-2400ma-kabel-microusb-chernyy/" TargetMode="External"/><Relationship Id="rId_hyperlink_1375" Type="http://schemas.openxmlformats.org/officeDocument/2006/relationships/hyperlink" Target="https://optovikufa.ru/product/177702/azu-na-microusb-2-x-usb-sy-10-vitoy-2100ma/" TargetMode="External"/><Relationship Id="rId_hyperlink_1376" Type="http://schemas.openxmlformats.org/officeDocument/2006/relationships/hyperlink" Target="https://optovikufa.ru/product/216892/azu-na-microusb-4mobile-2a/" TargetMode="External"/><Relationship Id="rId_hyperlink_1377" Type="http://schemas.openxmlformats.org/officeDocument/2006/relationships/hyperlink" Target="https://optovikufa.ru/product/229679/azu-na-microusb-mrm-power-mr-86-gnezdo-usb-vitoy-chernyy/" TargetMode="External"/><Relationship Id="rId_hyperlink_1378" Type="http://schemas.openxmlformats.org/officeDocument/2006/relationships/hyperlink" Target="https://optovikufa.ru/product/227598/azu-na-microusb-mrm-power-mr-87-gnezdo-usb-vitoy-belyy/" TargetMode="External"/><Relationship Id="rId_hyperlink_1379" Type="http://schemas.openxmlformats.org/officeDocument/2006/relationships/hyperlink" Target="https://optovikufa.ru/product/228989/azu-na-usb-borofone-bz12a-qc30-kabel-microusb-belyy/" TargetMode="External"/><Relationship Id="rId_hyperlink_1380" Type="http://schemas.openxmlformats.org/officeDocument/2006/relationships/hyperlink" Target="https://optovikufa.ru/product/239053/azu-na-usb-borofone-bz18-qc30-kabel-micro-belyy/" TargetMode="External"/><Relationship Id="rId_hyperlink_1381" Type="http://schemas.openxmlformats.org/officeDocument/2006/relationships/hyperlink" Target="https://optovikufa.ru/product/237310/azu-na-usb-borofone-bz18-qc30-kabel-micro-chernyy/" TargetMode="External"/><Relationship Id="rId_hyperlink_1382" Type="http://schemas.openxmlformats.org/officeDocument/2006/relationships/hyperlink" Target="https://optovikufa.ru/product/236183/azu-na-usb-borofone-bz19-kabel-microusb-siniy/" TargetMode="External"/><Relationship Id="rId_hyperlink_1383" Type="http://schemas.openxmlformats.org/officeDocument/2006/relationships/hyperlink" Target="https://optovikufa.ru/product/236180/azu-na-usb-borofone-bz19a-qc30-kabel-microusb-zoloto/" TargetMode="External"/><Relationship Id="rId_hyperlink_1384" Type="http://schemas.openxmlformats.org/officeDocument/2006/relationships/hyperlink" Target="https://optovikufa.ru/product/237167/azu-na-usb-borofone-bz19a-qc30-kabel-microusb-chernyy/" TargetMode="External"/><Relationship Id="rId_hyperlink_1385" Type="http://schemas.openxmlformats.org/officeDocument/2006/relationships/hyperlink" Target="https://optovikufa.ru/product/242776/azu-na-usb-borofone-bz23-qc30-kabel-micro-usbchernyy/" TargetMode="External"/><Relationship Id="rId_hyperlink_1386" Type="http://schemas.openxmlformats.org/officeDocument/2006/relationships/hyperlink" Target="https://optovikufa.ru/product/240009/azu-na-usb-hoco-z49a-qc30-kabel-microusb-seryy/" TargetMode="External"/><Relationship Id="rId_hyperlink_1387" Type="http://schemas.openxmlformats.org/officeDocument/2006/relationships/hyperlink" Target="https://optovikufa.ru/product/240010/azu-na-usb-hoco-z49a-qc30-kabel-microusb-chernyy/" TargetMode="External"/><Relationship Id="rId_hyperlink_1388" Type="http://schemas.openxmlformats.org/officeDocument/2006/relationships/hyperlink" Target="https://optovikufa.ru/product/171986/azu-s-usb-belkin-kabel-microusb-belyy/" TargetMode="External"/><Relationship Id="rId_hyperlink_1389" Type="http://schemas.openxmlformats.org/officeDocument/2006/relationships/hyperlink" Target="https://optovikufa.ru/product/227680/azu-s-usb-belkin-kabel-microusb-chernyy/" TargetMode="External"/><Relationship Id="rId_hyperlink_1390" Type="http://schemas.openxmlformats.org/officeDocument/2006/relationships/hyperlink" Target="https://optovikufa.ru/product/229683/azu-na-2-usb-belkin-kabel-type-c-belyy/" TargetMode="External"/><Relationship Id="rId_hyperlink_1391" Type="http://schemas.openxmlformats.org/officeDocument/2006/relationships/hyperlink" Target="https://optovikufa.ru/product/229682/azu-na-2-usb-belkin-kabel-type-c-chernyy/" TargetMode="External"/><Relationship Id="rId_hyperlink_1392" Type="http://schemas.openxmlformats.org/officeDocument/2006/relationships/hyperlink" Target="https://optovikufa.ru/product/237173/azu-na-2-usb-borofone-bz19-kabel-type-c-chernyy/" TargetMode="External"/><Relationship Id="rId_hyperlink_1393" Type="http://schemas.openxmlformats.org/officeDocument/2006/relationships/hyperlink" Target="https://optovikufa.ru/product/225878/azu-na-2-usb-hoco-z36-2400ma-kabel-type-c-belyy/" TargetMode="External"/><Relationship Id="rId_hyperlink_1394" Type="http://schemas.openxmlformats.org/officeDocument/2006/relationships/hyperlink" Target="https://optovikufa.ru/product/232691/azu-na-2-usb-hoco-z36-2400ma-kabel-type-c-chernyy/" TargetMode="External"/><Relationship Id="rId_hyperlink_1395" Type="http://schemas.openxmlformats.org/officeDocument/2006/relationships/hyperlink" Target="https://optovikufa.ru/product/241386/azu-na-2-usb-hoco-z49-2400ma-kabel-type-c-seryy/" TargetMode="External"/><Relationship Id="rId_hyperlink_1396" Type="http://schemas.openxmlformats.org/officeDocument/2006/relationships/hyperlink" Target="https://optovikufa.ru/product/241387/azu-na-2-usb-hoco-z49-2400ma-kabel-type-c-chernyy/" TargetMode="External"/><Relationship Id="rId_hyperlink_1397" Type="http://schemas.openxmlformats.org/officeDocument/2006/relationships/hyperlink" Target="https://optovikufa.ru/product/225913/azu-na-usb-borofone-bz12a-qc30-kabel-type-c-belyy/" TargetMode="External"/><Relationship Id="rId_hyperlink_1398" Type="http://schemas.openxmlformats.org/officeDocument/2006/relationships/hyperlink" Target="https://optovikufa.ru/product/237171/azu-na-usb-borofone-bz18-qc30-kabel-type-c-belyy/" TargetMode="External"/><Relationship Id="rId_hyperlink_1399" Type="http://schemas.openxmlformats.org/officeDocument/2006/relationships/hyperlink" Target="https://optovikufa.ru/product/236188/azu-na-usb-borofone-bz19a-kabel-type-c-zoloto/" TargetMode="External"/><Relationship Id="rId_hyperlink_1400" Type="http://schemas.openxmlformats.org/officeDocument/2006/relationships/hyperlink" Target="https://optovikufa.ru/product/236189/azu-na-usb-borofone-bz19a-kabel-type-c-siniy/" TargetMode="External"/><Relationship Id="rId_hyperlink_1401" Type="http://schemas.openxmlformats.org/officeDocument/2006/relationships/hyperlink" Target="https://optovikufa.ru/product/240708/azu-na-usb-borofone-bz20-qc30-kabel-type-c-fioletovyy/" TargetMode="External"/><Relationship Id="rId_hyperlink_1402" Type="http://schemas.openxmlformats.org/officeDocument/2006/relationships/hyperlink" Target="https://optovikufa.ru/product/241596/azu-na-usb-borofone-bz22-qc30-kabel-type-c-lightning-chernyy/" TargetMode="External"/><Relationship Id="rId_hyperlink_1403" Type="http://schemas.openxmlformats.org/officeDocument/2006/relationships/hyperlink" Target="https://optovikufa.ru/product/241385/azu-na-usb-borofone-bz22a-qc30-kabel-type-c-type-c-belyy/" TargetMode="External"/><Relationship Id="rId_hyperlink_1404" Type="http://schemas.openxmlformats.org/officeDocument/2006/relationships/hyperlink" Target="https://optovikufa.ru/product/242780/azu-na-usb-borofone-bz23-qc30-kabeltype-cchernyy/" TargetMode="External"/><Relationship Id="rId_hyperlink_1405" Type="http://schemas.openxmlformats.org/officeDocument/2006/relationships/hyperlink" Target="https://optovikufa.ru/product/240017/azu-na-usb-hoco-z49a-qc30-kabel-type-c-seryy/" TargetMode="External"/><Relationship Id="rId_hyperlink_1406" Type="http://schemas.openxmlformats.org/officeDocument/2006/relationships/hyperlink" Target="https://optovikufa.ru/product/240018/azu-na-usb-hoco-z49a-qc30-kabel-type-c-chernyy/" TargetMode="External"/><Relationship Id="rId_hyperlink_1407" Type="http://schemas.openxmlformats.org/officeDocument/2006/relationships/hyperlink" Target="https://optovikufa.ru/product/242592/zu-besprovodnoe-borofone-bq20-bystraya-zaryadka-chernyy/" TargetMode="External"/><Relationship Id="rId_hyperlink_1408" Type="http://schemas.openxmlformats.org/officeDocument/2006/relationships/hyperlink" Target="https://optovikufa.ru/product/236525/szu-h4-na-2-x-pd-20w/" TargetMode="External"/><Relationship Id="rId_hyperlink_1409" Type="http://schemas.openxmlformats.org/officeDocument/2006/relationships/hyperlink" Target="https://optovikufa.ru/product/242596/szu-na-2-pd-gnezdo-type-c-borofone-ba76a-qc30-belyy/" TargetMode="External"/><Relationship Id="rId_hyperlink_1410" Type="http://schemas.openxmlformats.org/officeDocument/2006/relationships/hyperlink" Target="https://optovikufa.ru/product/241914/szu-na-pd-gnezdo-type-c-borofone-ba57a-qc30-20w-kabel-type-c-lightning-belyy/" TargetMode="External"/><Relationship Id="rId_hyperlink_1411" Type="http://schemas.openxmlformats.org/officeDocument/2006/relationships/hyperlink" Target="https://optovikufa.ru/product/241913/szu-na-pd-gnezdo-type-c-borofone-ba61a-qc30-105w-kabel-type-c-lightning-belyy/" TargetMode="External"/><Relationship Id="rId_hyperlink_1412" Type="http://schemas.openxmlformats.org/officeDocument/2006/relationships/hyperlink" Target="https://optovikufa.ru/product/237952/szu-na-pd-gnezdo-type-c-dream-pa4-20w/" TargetMode="External"/><Relationship Id="rId_hyperlink_1413" Type="http://schemas.openxmlformats.org/officeDocument/2006/relationships/hyperlink" Target="https://optovikufa.ru/product/237953/szu-na-pd-gnezdo-type-c-dream-pd01-3a-20w/" TargetMode="External"/><Relationship Id="rId_hyperlink_1414" Type="http://schemas.openxmlformats.org/officeDocument/2006/relationships/hyperlink" Target="https://optovikufa.ru/product/231214/szu-na-pd-gnezdo-type-c-dream-pd09-skorostnaya-zaryadka/" TargetMode="External"/><Relationship Id="rId_hyperlink_1415" Type="http://schemas.openxmlformats.org/officeDocument/2006/relationships/hyperlink" Target="https://optovikufa.ru/product/240082/szu-na-pd-gnezdo-type-c-dream-pd10-50w-skorostnaya-zaryadka/" TargetMode="External"/><Relationship Id="rId_hyperlink_1416" Type="http://schemas.openxmlformats.org/officeDocument/2006/relationships/hyperlink" Target="https://optovikufa.ru/product/234778/szu-na-pd-gnezdo-type-c-dream-pd8-skorostnaya-zaryadka-20w/" TargetMode="External"/><Relationship Id="rId_hyperlink_1417" Type="http://schemas.openxmlformats.org/officeDocument/2006/relationships/hyperlink" Target="https://optovikufa.ru/product/242573/szu-na-pd-gnezdo-type-c-dream-sm05-20w/" TargetMode="External"/><Relationship Id="rId_hyperlink_1418" Type="http://schemas.openxmlformats.org/officeDocument/2006/relationships/hyperlink" Target="https://optovikufa.ru/product/235285/szu-na-pd-gnezdo-type-c-orig-apl-20w-skorostnaya-zaryadka/" TargetMode="External"/><Relationship Id="rId_hyperlink_1419" Type="http://schemas.openxmlformats.org/officeDocument/2006/relationships/hyperlink" Target="https://optovikufa.ru/product/237532/szu-na-pd-20w-belyy-mrm-xq50/" TargetMode="External"/><Relationship Id="rId_hyperlink_1420" Type="http://schemas.openxmlformats.org/officeDocument/2006/relationships/hyperlink" Target="https://optovikufa.ru/product/240056/szu-na-2-pd-gnezdo-type-c-borofone-ba76a-qc30-kabel-type-c-lightning-belyy/" TargetMode="External"/><Relationship Id="rId_hyperlink_1421" Type="http://schemas.openxmlformats.org/officeDocument/2006/relationships/hyperlink" Target="https://optovikufa.ru/product/240055/szu-na-2-pdusb-gnezdo-type-c-hoco-c126a-40w-qc30-kabel-type-c-lightning-belyy/" TargetMode="External"/><Relationship Id="rId_hyperlink_1422" Type="http://schemas.openxmlformats.org/officeDocument/2006/relationships/hyperlink" Target="https://optovikufa.ru/product/242856/szu-na-pd-gnezdo-type-c-2usb-borofone-ba70a-pd30-kabel-lightning-belyy/" TargetMode="External"/><Relationship Id="rId_hyperlink_1423" Type="http://schemas.openxmlformats.org/officeDocument/2006/relationships/hyperlink" Target="https://optovikufa.ru/product/242857/szu-na-pd-gnezdo-type-c-3usb-borofone-ba79a-pd30-kabel-lightning-belyy/" TargetMode="External"/><Relationship Id="rId_hyperlink_1424" Type="http://schemas.openxmlformats.org/officeDocument/2006/relationships/hyperlink" Target="https://optovikufa.ru/product/229450/szu-na-pd-gnezdo-type-c-usb-borofone-ba46a-pd30-kabel-type-c-lightning-belyy/" TargetMode="External"/><Relationship Id="rId_hyperlink_1425" Type="http://schemas.openxmlformats.org/officeDocument/2006/relationships/hyperlink" Target="https://optovikufa.ru/product/231446/szu-na-pd-gnezdo-type-c-usb-borofone-ba46a-pd30-kabel-type-c-lightning-chernyy/" TargetMode="External"/><Relationship Id="rId_hyperlink_1426" Type="http://schemas.openxmlformats.org/officeDocument/2006/relationships/hyperlink" Target="https://optovikufa.ru/product/241133/szu-na-pd-gnezdo-type-c-usb-borofone-bn7-qc30-kabel-type-c-lightning-belyy/" TargetMode="External"/><Relationship Id="rId_hyperlink_1427" Type="http://schemas.openxmlformats.org/officeDocument/2006/relationships/hyperlink" Target="https://optovikufa.ru/product/229457/szu-na-pd-gnezdo-type-c-borofone-ba38a-pd30-kabel-type-c-lightning-belyy/" TargetMode="External"/><Relationship Id="rId_hyperlink_1428" Type="http://schemas.openxmlformats.org/officeDocument/2006/relationships/hyperlink" Target="https://optovikufa.ru/product/242711/szu-na-pd-gnezdo-type-c-borofone-ba65a-3000ma-pd20vt-kabel-type-c-lighting-belyy/" TargetMode="External"/><Relationship Id="rId_hyperlink_1429" Type="http://schemas.openxmlformats.org/officeDocument/2006/relationships/hyperlink" Target="https://optovikufa.ru/product/239362/szu-na-pd-gnezdo-type-c-borofone-ba71a-qc30-pd20vt-kabel-lightning-chernyy/" TargetMode="External"/><Relationship Id="rId_hyperlink_1430" Type="http://schemas.openxmlformats.org/officeDocument/2006/relationships/hyperlink" Target="https://optovikufa.ru/product/242923/szu-na-pd-gnezdo-type-c-borofone-ba77a-qc30-pd30vt-kabel-type-c-lightning-belyy/" TargetMode="External"/><Relationship Id="rId_hyperlink_1431" Type="http://schemas.openxmlformats.org/officeDocument/2006/relationships/hyperlink" Target="https://optovikufa.ru/product/231653/szu-na-pd-gnezdo-type-c-hoco-n10-pd-3000ma-kabel-type-c-lightning-belyy/" TargetMode="External"/><Relationship Id="rId_hyperlink_1432" Type="http://schemas.openxmlformats.org/officeDocument/2006/relationships/hyperlink" Target="https://optovikufa.ru/product/234658/szu-na-pd-gnezdo-type-choco-n14-qc30-kabel-type-c-lightning-belyy/" TargetMode="External"/><Relationship Id="rId_hyperlink_1433" Type="http://schemas.openxmlformats.org/officeDocument/2006/relationships/hyperlink" Target="https://optovikufa.ru/product/237531/szu-na-pd-20w-kabel-type-c-lightning-belyy-mrm-xq50/" TargetMode="External"/><Relationship Id="rId_hyperlink_1434" Type="http://schemas.openxmlformats.org/officeDocument/2006/relationships/hyperlink" Target="https://optovikufa.ru/product/241496/szu-na-pd-borofone-bas15a-cq30a-kabel-type-c-lightning-chernyy/" TargetMode="External"/><Relationship Id="rId_hyperlink_1435" Type="http://schemas.openxmlformats.org/officeDocument/2006/relationships/hyperlink" Target="https://optovikufa.ru/product/242582/szu-hoco-n29-qc30-pd35w-kabel-type-c-type-c-chernyy/" TargetMode="External"/><Relationship Id="rId_hyperlink_1436" Type="http://schemas.openxmlformats.org/officeDocument/2006/relationships/hyperlink" Target="https://optovikufa.ru/product/242595/szu-na-2-pd-gnezdo-type-c-borofone-ba76a-qc30-kabel-type-c-type-c-belyy/" TargetMode="External"/><Relationship Id="rId_hyperlink_1437" Type="http://schemas.openxmlformats.org/officeDocument/2006/relationships/hyperlink" Target="https://optovikufa.ru/product/240816/szu-na-pd-gnezdo-type-c-borofone-ba65a-3000ma-pd20vt-kabel-type-c-type-c-chernyy/" TargetMode="External"/><Relationship Id="rId_hyperlink_1438" Type="http://schemas.openxmlformats.org/officeDocument/2006/relationships/hyperlink" Target="https://optovikufa.ru/product/230922/szu-na-pdusb-hoco-c80a-qc30-kabel-type-c-type-c-belyy/" TargetMode="External"/><Relationship Id="rId_hyperlink_1439" Type="http://schemas.openxmlformats.org/officeDocument/2006/relationships/hyperlink" Target="https://optovikufa.ru/product/221211/szu-na-usb-borofone-ba20a-chernyy/" TargetMode="External"/><Relationship Id="rId_hyperlink_1440" Type="http://schemas.openxmlformats.org/officeDocument/2006/relationships/hyperlink" Target="https://optovikufa.ru/product/235080/szu-na-usb-borofone-ba49a-belyy/" TargetMode="External"/><Relationship Id="rId_hyperlink_1441" Type="http://schemas.openxmlformats.org/officeDocument/2006/relationships/hyperlink" Target="https://optovikufa.ru/product/167916/szu-na-lightning-afka-tech-/" TargetMode="External"/><Relationship Id="rId_hyperlink_1442" Type="http://schemas.openxmlformats.org/officeDocument/2006/relationships/hyperlink" Target="https://optovikufa.ru/product/223020/szu-na-2-usb-borofone-ba25a-kabel-lightning-chernyy/" TargetMode="External"/><Relationship Id="rId_hyperlink_1443" Type="http://schemas.openxmlformats.org/officeDocument/2006/relationships/hyperlink" Target="https://optovikufa.ru/product/233198/szu-na-2-usb-borofone-bn2-kabel-lightning-chernyy/" TargetMode="External"/><Relationship Id="rId_hyperlink_1444" Type="http://schemas.openxmlformats.org/officeDocument/2006/relationships/hyperlink" Target="https://optovikufa.ru/product/220630/szu-na-2-usb-hoco-c73a-kabel-lightning-belyy/" TargetMode="External"/><Relationship Id="rId_hyperlink_1445" Type="http://schemas.openxmlformats.org/officeDocument/2006/relationships/hyperlink" Target="https://optovikufa.ru/product/235467/szu-na-2-usb-hoco-c88a-kabel-lightning-belyy/" TargetMode="External"/><Relationship Id="rId_hyperlink_1446" Type="http://schemas.openxmlformats.org/officeDocument/2006/relationships/hyperlink" Target="https://optovikufa.ru/product/233199/szu-na-2-usb-hoco-c88a-kabel-lightning-chernyy/" TargetMode="External"/><Relationship Id="rId_hyperlink_1447" Type="http://schemas.openxmlformats.org/officeDocument/2006/relationships/hyperlink" Target="https://optovikufa.ru/product/233783/szu-na-2-usb-hoco-n7-kabel-lightning-2100mah-belyy/" TargetMode="External"/><Relationship Id="rId_hyperlink_1448" Type="http://schemas.openxmlformats.org/officeDocument/2006/relationships/hyperlink" Target="https://optovikufa.ru/product/223013/szu-na-usb-borofone-ba20a-kabel-lightning-belyy/" TargetMode="External"/><Relationship Id="rId_hyperlink_1449" Type="http://schemas.openxmlformats.org/officeDocument/2006/relationships/hyperlink" Target="https://optovikufa.ru/product/228426/szu-na-usb-borofone-ba20a-kabel-lightning-chernyy/" TargetMode="External"/><Relationship Id="rId_hyperlink_1450" Type="http://schemas.openxmlformats.org/officeDocument/2006/relationships/hyperlink" Target="https://optovikufa.ru/product/239743/szu-na-usb-borofone-ba48a-kabel-lightning-chernyy/" TargetMode="External"/><Relationship Id="rId_hyperlink_1451" Type="http://schemas.openxmlformats.org/officeDocument/2006/relationships/hyperlink" Target="https://optovikufa.ru/product/234463/szu-na-usb-borofone-ba49a-kabel-lightning-belyy/" TargetMode="External"/><Relationship Id="rId_hyperlink_1452" Type="http://schemas.openxmlformats.org/officeDocument/2006/relationships/hyperlink" Target="https://optovikufa.ru/product/234435/szu-na-usb-borofone-ba49a-kabel-lightning-chernyy/" TargetMode="External"/><Relationship Id="rId_hyperlink_1453" Type="http://schemas.openxmlformats.org/officeDocument/2006/relationships/hyperlink" Target="https://optovikufa.ru/product/236054/szu-na-usb-borofone-ba52a-kabel-lightning-belyy/" TargetMode="External"/><Relationship Id="rId_hyperlink_1454" Type="http://schemas.openxmlformats.org/officeDocument/2006/relationships/hyperlink" Target="https://optovikufa.ru/product/230040/szu-na-usb-borofone-ba52a-kabel-lightning-chernyy/" TargetMode="External"/><Relationship Id="rId_hyperlink_1455" Type="http://schemas.openxmlformats.org/officeDocument/2006/relationships/hyperlink" Target="https://optovikufa.ru/product/236204/szu-na-usb-borofone-ba64a-kabel-lightning-chernyy/" TargetMode="External"/><Relationship Id="rId_hyperlink_1456" Type="http://schemas.openxmlformats.org/officeDocument/2006/relationships/hyperlink" Target="https://optovikufa.ru/product/237281/szu-na-usb-borofone-ba68a-kabel-lightning-belyy/" TargetMode="External"/><Relationship Id="rId_hyperlink_1457" Type="http://schemas.openxmlformats.org/officeDocument/2006/relationships/hyperlink" Target="https://optovikufa.ru/product/237282/szu-na-usb-borofone-ba68a-kabel-lightning-chernyy/" TargetMode="External"/><Relationship Id="rId_hyperlink_1458" Type="http://schemas.openxmlformats.org/officeDocument/2006/relationships/hyperlink" Target="https://optovikufa.ru/product/242271/szu-na-usb-borofone-bas11a-21a-kabel-lightning-chernyy/" TargetMode="External"/><Relationship Id="rId_hyperlink_1459" Type="http://schemas.openxmlformats.org/officeDocument/2006/relationships/hyperlink" Target="https://optovikufa.ru/product/242580/szu-na-usb-hoco-c106a-kabel-lightning-2100mah-belyy/" TargetMode="External"/><Relationship Id="rId_hyperlink_1460" Type="http://schemas.openxmlformats.org/officeDocument/2006/relationships/hyperlink" Target="https://optovikufa.ru/product/220626/szu-na-usb-hoco-c72a-kabel-lightning-belyy/" TargetMode="External"/><Relationship Id="rId_hyperlink_1461" Type="http://schemas.openxmlformats.org/officeDocument/2006/relationships/hyperlink" Target="https://optovikufa.ru/product/236206/szu-na-usb-hoco-c96a-kabel-lightning-belyy/" TargetMode="External"/><Relationship Id="rId_hyperlink_1462" Type="http://schemas.openxmlformats.org/officeDocument/2006/relationships/hyperlink" Target="https://optovikufa.ru/product/239744/szu-na-usb-hoco-c96a-kabel-lightning-chernyy/" TargetMode="External"/><Relationship Id="rId_hyperlink_1463" Type="http://schemas.openxmlformats.org/officeDocument/2006/relationships/hyperlink" Target="https://optovikufa.ru/product/161010/szu-na-usb-remaks-rm7185-kabel-lightning-1000ma-/" TargetMode="External"/><Relationship Id="rId_hyperlink_1464" Type="http://schemas.openxmlformats.org/officeDocument/2006/relationships/hyperlink" Target="https://optovikufa.ru/product/224489/szu-na-2-usb-borofone-ba37a-kabel-microusb-belyy/" TargetMode="External"/><Relationship Id="rId_hyperlink_1465" Type="http://schemas.openxmlformats.org/officeDocument/2006/relationships/hyperlink" Target="https://optovikufa.ru/product/229165/szu-na-2-usb-borofone-ba53a-kabel-microusb-belyy/" TargetMode="External"/><Relationship Id="rId_hyperlink_1466" Type="http://schemas.openxmlformats.org/officeDocument/2006/relationships/hyperlink" Target="https://optovikufa.ru/product/238995/szu-na-2-usb-hoco-n25-maker-3000mah-kabel-microusb-belyy/" TargetMode="External"/><Relationship Id="rId_hyperlink_1467" Type="http://schemas.openxmlformats.org/officeDocument/2006/relationships/hyperlink" Target="https://optovikufa.ru/product/220139/szu-na-microusb-hoco-c59a-2-usb-2400ma-belyy/" TargetMode="External"/><Relationship Id="rId_hyperlink_1468" Type="http://schemas.openxmlformats.org/officeDocument/2006/relationships/hyperlink" Target="https://optovikufa.ru/product/230614/szu-na-microusb-remaks-sr-08-gnezdo-usb-2100ma/" TargetMode="External"/><Relationship Id="rId_hyperlink_1469" Type="http://schemas.openxmlformats.org/officeDocument/2006/relationships/hyperlink" Target="https://optovikufa.ru/product/230615/szu-na-microusb-remaks-sr-09-gnezdo-usb-2100ma/" TargetMode="External"/><Relationship Id="rId_hyperlink_1470" Type="http://schemas.openxmlformats.org/officeDocument/2006/relationships/hyperlink" Target="https://optovikufa.ru/product/237283/szu-na-usb-borofone-ba36a-qc30-kabel-microusb-belyy/" TargetMode="External"/><Relationship Id="rId_hyperlink_1471" Type="http://schemas.openxmlformats.org/officeDocument/2006/relationships/hyperlink" Target="https://optovikufa.ru/product/228424/szu-na-usb-borofone-ba36a-qc30-kabel-microusb-chernyy/" TargetMode="External"/><Relationship Id="rId_hyperlink_1472" Type="http://schemas.openxmlformats.org/officeDocument/2006/relationships/hyperlink" Target="https://optovikufa.ru/product/237237/szu-na-usb-borofone-ba47a-kabel-microusb-belyy/" TargetMode="External"/><Relationship Id="rId_hyperlink_1473" Type="http://schemas.openxmlformats.org/officeDocument/2006/relationships/hyperlink" Target="https://optovikufa.ru/product/233972/szu-na-usb-borofone-ba49a-kabel-microusb-chernyy/" TargetMode="External"/><Relationship Id="rId_hyperlink_1474" Type="http://schemas.openxmlformats.org/officeDocument/2006/relationships/hyperlink" Target="https://optovikufa.ru/product/238999/szu-na-usb-borofone-ba66a-qc30-kabel-microusb-belyy/" TargetMode="External"/><Relationship Id="rId_hyperlink_1475" Type="http://schemas.openxmlformats.org/officeDocument/2006/relationships/hyperlink" Target="https://optovikufa.ru/product/241469/szu-na-usb-borofone-bas11a-21a-kabel-microusb-belyy/" TargetMode="External"/><Relationship Id="rId_hyperlink_1476" Type="http://schemas.openxmlformats.org/officeDocument/2006/relationships/hyperlink" Target="https://optovikufa.ru/product/241470/szu-na-usb-borofone-bas11a-21a-kabel-microusb-chernyy/" TargetMode="External"/><Relationship Id="rId_hyperlink_1477" Type="http://schemas.openxmlformats.org/officeDocument/2006/relationships/hyperlink" Target="https://optovikufa.ru/product/241482/szu-na-usb-borofone-bas12a-21a-kabel-microusb-belyy/" TargetMode="External"/><Relationship Id="rId_hyperlink_1478" Type="http://schemas.openxmlformats.org/officeDocument/2006/relationships/hyperlink" Target="https://optovikufa.ru/product/241483/szu-na-usb-borofone-bas12a-21a-kabel-microusb-chernyy/" TargetMode="External"/><Relationship Id="rId_hyperlink_1479" Type="http://schemas.openxmlformats.org/officeDocument/2006/relationships/hyperlink" Target="https://optovikufa.ru/product/227270/szu-na-usb-hoco-c12q-qc30-kabel-microusb-chernyy/" TargetMode="External"/><Relationship Id="rId_hyperlink_1480" Type="http://schemas.openxmlformats.org/officeDocument/2006/relationships/hyperlink" Target="https://optovikufa.ru/product/225879/szu-na-usb-hoco-c72q-glorious-qc30-kabel-microusb-belyy/" TargetMode="External"/><Relationship Id="rId_hyperlink_1481" Type="http://schemas.openxmlformats.org/officeDocument/2006/relationships/hyperlink" Target="https://optovikufa.ru/product/225880/szu-na-usb-hoco-c72q-glorious-qc30-kabel-microusb-chernyy/" TargetMode="External"/><Relationship Id="rId_hyperlink_1482" Type="http://schemas.openxmlformats.org/officeDocument/2006/relationships/hyperlink" Target="https://optovikufa.ru/product/238998/szu-na-usb-hoco-c98a-3000ma-kabel-microusb-belyy/" TargetMode="External"/><Relationship Id="rId_hyperlink_1483" Type="http://schemas.openxmlformats.org/officeDocument/2006/relationships/hyperlink" Target="https://optovikufa.ru/product/242055/szu-na-usb-hoco-cs12a-qc30-18w-kabel-microusb-belyy/" TargetMode="External"/><Relationship Id="rId_hyperlink_1484" Type="http://schemas.openxmlformats.org/officeDocument/2006/relationships/hyperlink" Target="https://optovikufa.ru/product/242854/szu-na-usb-hoco-cs12a-qc30-18w-kabel-microusb-chernyy/" TargetMode="External"/><Relationship Id="rId_hyperlink_1485" Type="http://schemas.openxmlformats.org/officeDocument/2006/relationships/hyperlink" Target="https://optovikufa.ru/product/238997/szu-na-usb-hoco-n26-maxim-3000mah-qc30-pd18vt-kabel-microusb-belyy/" TargetMode="External"/><Relationship Id="rId_hyperlink_1486" Type="http://schemas.openxmlformats.org/officeDocument/2006/relationships/hyperlink" Target="https://optovikufa.ru/product/226807/szu-na-usb-tab-p1000-kabel-microusb/" TargetMode="External"/><Relationship Id="rId_hyperlink_1487" Type="http://schemas.openxmlformats.org/officeDocument/2006/relationships/hyperlink" Target="https://optovikufa.ru/product/239350/szu-na-2-pdusb-hoco-c99a-qc30-kabel-microusb-3000mah-belyy/" TargetMode="External"/><Relationship Id="rId_hyperlink_1488" Type="http://schemas.openxmlformats.org/officeDocument/2006/relationships/hyperlink" Target="https://optovikufa.ru/product/229163/szu-na-2-usb-borofone-ba53a-kabel-type-c-belyy/" TargetMode="External"/><Relationship Id="rId_hyperlink_1489" Type="http://schemas.openxmlformats.org/officeDocument/2006/relationships/hyperlink" Target="https://optovikufa.ru/product/229164/szu-na-2-usb-borofone-ba53a-kabel-type-c-chernyy/" TargetMode="External"/><Relationship Id="rId_hyperlink_1490" Type="http://schemas.openxmlformats.org/officeDocument/2006/relationships/hyperlink" Target="https://optovikufa.ru/product/220631/szu-na-2-usb-hoco-c73a-kabel-type-c-belyy/" TargetMode="External"/><Relationship Id="rId_hyperlink_1491" Type="http://schemas.openxmlformats.org/officeDocument/2006/relationships/hyperlink" Target="https://optovikufa.ru/product/233283/szu-na-2-usb-hoco-c88a-kabel-type-c-chernyy/" TargetMode="External"/><Relationship Id="rId_hyperlink_1492" Type="http://schemas.openxmlformats.org/officeDocument/2006/relationships/hyperlink" Target="https://optovikufa.ru/product/223014/szu-na-usb-borofone-ba20a-kabel-type-c-belyy/" TargetMode="External"/><Relationship Id="rId_hyperlink_1493" Type="http://schemas.openxmlformats.org/officeDocument/2006/relationships/hyperlink" Target="https://optovikufa.ru/product/223015/szu-na-usb-borofone-ba20a-kabel-type-c-chernyy/" TargetMode="External"/><Relationship Id="rId_hyperlink_1494" Type="http://schemas.openxmlformats.org/officeDocument/2006/relationships/hyperlink" Target="https://optovikufa.ru/product/229320/szu-na-usb-borofone-ba32a-qc30-kabel-type-c-belyy/" TargetMode="External"/><Relationship Id="rId_hyperlink_1495" Type="http://schemas.openxmlformats.org/officeDocument/2006/relationships/hyperlink" Target="https://optovikufa.ru/product/233189/szu-na-usb-borofone-ba49a-kabel-type-c-belyy/" TargetMode="External"/><Relationship Id="rId_hyperlink_1496" Type="http://schemas.openxmlformats.org/officeDocument/2006/relationships/hyperlink" Target="https://optovikufa.ru/product/230171/szu-na-usb-borofone-ba49a-kabel-type-c-chernyy/" TargetMode="External"/><Relationship Id="rId_hyperlink_1497" Type="http://schemas.openxmlformats.org/officeDocument/2006/relationships/hyperlink" Target="https://optovikufa.ru/product/233973/szu-na-usb-borofone-ba52a-kabel-type-c-belyy/" TargetMode="External"/><Relationship Id="rId_hyperlink_1498" Type="http://schemas.openxmlformats.org/officeDocument/2006/relationships/hyperlink" Target="https://optovikufa.ru/product/233974/szu-na-usb-borofone-ba52a-kabel-type-c-chernyy/" TargetMode="External"/><Relationship Id="rId_hyperlink_1499" Type="http://schemas.openxmlformats.org/officeDocument/2006/relationships/hyperlink" Target="https://optovikufa.ru/product/236218/szu-na-usb-borofone-ba64a-kabel-type-c-belyy/" TargetMode="External"/><Relationship Id="rId_hyperlink_1500" Type="http://schemas.openxmlformats.org/officeDocument/2006/relationships/hyperlink" Target="https://optovikufa.ru/product/239353/szu-na-usb-borofone-ba64a-kabel-type-c-chernyy/" TargetMode="External"/><Relationship Id="rId_hyperlink_1501" Type="http://schemas.openxmlformats.org/officeDocument/2006/relationships/hyperlink" Target="https://optovikufa.ru/product/236220/szu-na-usb-borofone-ba68a-kabel-type-c-belyy/" TargetMode="External"/><Relationship Id="rId_hyperlink_1502" Type="http://schemas.openxmlformats.org/officeDocument/2006/relationships/hyperlink" Target="https://optovikufa.ru/product/236219/szu-na-usb-borofone-ba68a-kabel-type-c-chernyy/" TargetMode="External"/><Relationship Id="rId_hyperlink_1503" Type="http://schemas.openxmlformats.org/officeDocument/2006/relationships/hyperlink" Target="https://optovikufa.ru/product/239354/szu-na-usb-borofone-ba74a-kabel-type-c-belyy/" TargetMode="External"/><Relationship Id="rId_hyperlink_1504" Type="http://schemas.openxmlformats.org/officeDocument/2006/relationships/hyperlink" Target="https://optovikufa.ru/product/241486/szu-na-usb-borofone-bas15a-cq30a-kabel-type-cchernyy/" TargetMode="External"/><Relationship Id="rId_hyperlink_1505" Type="http://schemas.openxmlformats.org/officeDocument/2006/relationships/hyperlink" Target="https://optovikufa.ru/product/229458/szu-na-usb-hoco-c81a-kabel-type-c-2100ma-belyy/" TargetMode="External"/><Relationship Id="rId_hyperlink_1506" Type="http://schemas.openxmlformats.org/officeDocument/2006/relationships/hyperlink" Target="https://optovikufa.ru/product/237242/szu-na-usb-hoco-c96a-2100ma-kabel-usb-type-c-chernyy/" TargetMode="External"/><Relationship Id="rId_hyperlink_1507" Type="http://schemas.openxmlformats.org/officeDocument/2006/relationships/hyperlink" Target="https://optovikufa.ru/product/237244/szu-na-usb-hoco-c96a-2100ma-plastik-kabel-usb-type-c-belyy/" TargetMode="External"/><Relationship Id="rId_hyperlink_1508" Type="http://schemas.openxmlformats.org/officeDocument/2006/relationships/hyperlink" Target="https://optovikufa.ru/product/242268/szu-na-usb-hoco-cs11a-kabel-type-c-2100mah-chernyy/" TargetMode="External"/><Relationship Id="rId_hyperlink_1509" Type="http://schemas.openxmlformats.org/officeDocument/2006/relationships/hyperlink" Target="https://optovikufa.ru/product/241696/szu-na-usb-mi-120-wkabel-type-c-belyy/" TargetMode="External"/><Relationship Id="rId_hyperlink_1510" Type="http://schemas.openxmlformats.org/officeDocument/2006/relationships/hyperlink" Target="https://optovikufa.ru/product/124235/szu-dlya-vseh-tipov-akb-universalnaya-lyagushka/" TargetMode="External"/><Relationship Id="rId_hyperlink_1511" Type="http://schemas.openxmlformats.org/officeDocument/2006/relationships/hyperlink" Target="https://optovikufa.ru/product/238327/szu-dlya-vseh-tipov-akb-universalnaya-dream-l11/" TargetMode="External"/><Relationship Id="rId_hyperlink_1512" Type="http://schemas.openxmlformats.org/officeDocument/2006/relationships/hyperlink" Target="https://optovikufa.ru/product/123626/komplekt-matovyh-plenok-activ-dlya-apple-iphone-6-ekranpanel-kitay/" TargetMode="External"/><Relationship Id="rId_hyperlink_1513" Type="http://schemas.openxmlformats.org/officeDocument/2006/relationships/hyperlink" Target="https://optovikufa.ru/product/123627/komplekt-matovyh-plenok-activ-dlya-apple-iphone-6-plus-ekranpanel-kitay/" TargetMode="External"/><Relationship Id="rId_hyperlink_1514" Type="http://schemas.openxmlformats.org/officeDocument/2006/relationships/hyperlink" Target="https://optovikufa.ru/product/123631/nabor-prozrachnyh-plenok-activ-3-v-1-dlya-apple-iphone-6/" TargetMode="External"/><Relationship Id="rId_hyperlink_1515" Type="http://schemas.openxmlformats.org/officeDocument/2006/relationships/hyperlink" Target="https://optovikufa.ru/product/123632/nabor-prozrachnyh-plenok-activ-3-v-1-dlya-apple-iphone-6-plus/" TargetMode="External"/><Relationship Id="rId_hyperlink_1516" Type="http://schemas.openxmlformats.org/officeDocument/2006/relationships/hyperlink" Target="https://optovikufa.ru/product/123633/nabor-prozrachnyh-plenok-activ-dlya-apple-iphone-6-plus-ekranpanel/" TargetMode="External"/><Relationship Id="rId_hyperlink_1517" Type="http://schemas.openxmlformats.org/officeDocument/2006/relationships/hyperlink" Target="https://optovikufa.ru/product/164960/plenka-zaschitnaya-activ-diamond-dlya-apple-ipad-2-kitay/" TargetMode="External"/><Relationship Id="rId_hyperlink_1518" Type="http://schemas.openxmlformats.org/officeDocument/2006/relationships/hyperlink" Target="https://optovikufa.ru/product/123628/plenka-zaschitnaya-activ-matovaya-dlya-apple-iphone-6/" TargetMode="External"/><Relationship Id="rId_hyperlink_1519" Type="http://schemas.openxmlformats.org/officeDocument/2006/relationships/hyperlink" Target="https://optovikufa.ru/product/123629/plenka-zaschitnaya-activ-matovaya-dlya-apple-iphone-6-plus/" TargetMode="External"/><Relationship Id="rId_hyperlink_1520" Type="http://schemas.openxmlformats.org/officeDocument/2006/relationships/hyperlink" Target="https://optovikufa.ru/product/133397/plenka-zaschitnaya-activ-prozrachnaya-dlya-htc-desire-s/" TargetMode="External"/><Relationship Id="rId_hyperlink_1521" Type="http://schemas.openxmlformats.org/officeDocument/2006/relationships/hyperlink" Target="https://optovikufa.ru/product/133398/plenka-zaschitnaya-activ-prozrachnaya-dlya-htc-desire-z/" TargetMode="External"/><Relationship Id="rId_hyperlink_1522" Type="http://schemas.openxmlformats.org/officeDocument/2006/relationships/hyperlink" Target="https://optovikufa.ru/product/164764/plenka-zaschitnaya-activ-prozrachnaya-universalnaya-40/" TargetMode="External"/><Relationship Id="rId_hyperlink_1523" Type="http://schemas.openxmlformats.org/officeDocument/2006/relationships/hyperlink" Target="https://optovikufa.ru/product/171731/steklo-zhidkoe-zaschitnoe-nano-dlya-smartfona-universalnoe-lanbi/" TargetMode="External"/><Relationship Id="rId_hyperlink_1524" Type="http://schemas.openxmlformats.org/officeDocument/2006/relationships/hyperlink" Target="https://optovikufa.ru/product/125782/steklo-zaschitnoe-universalnoe-63-/" TargetMode="External"/><Relationship Id="rId_hyperlink_1525" Type="http://schemas.openxmlformats.org/officeDocument/2006/relationships/hyperlink" Target="https://optovikufa.ru/product/158863/steklo-zaschitnoe-universalnoe-78-universal/" TargetMode="External"/><Relationship Id="rId_hyperlink_1526" Type="http://schemas.openxmlformats.org/officeDocument/2006/relationships/hyperlink" Target="https://optovikufa.ru/product/158864/steklo-zaschitnoe-universalnoe-75-universal/" TargetMode="External"/><Relationship Id="rId_hyperlink_1527" Type="http://schemas.openxmlformats.org/officeDocument/2006/relationships/hyperlink" Target="https://optovikufa.ru/product/222645/derzhatel-dlya-telefona-popsocket-v-assortimente-5/" TargetMode="External"/><Relationship Id="rId_hyperlink_1528" Type="http://schemas.openxmlformats.org/officeDocument/2006/relationships/hyperlink" Target="https://optovikufa.ru/product/235955/derzhatel-dlya-kabeley-dream-c8/" TargetMode="External"/><Relationship Id="rId_hyperlink_1529" Type="http://schemas.openxmlformats.org/officeDocument/2006/relationships/hyperlink" Target="https://optovikufa.ru/product/239720/derzhatel-mobilnogo-telefona-hoco-hd1-chernyy/" TargetMode="External"/><Relationship Id="rId_hyperlink_1530" Type="http://schemas.openxmlformats.org/officeDocument/2006/relationships/hyperlink" Target="https://optovikufa.ru/product/240038/derzhatel-mobilnogo-telefona-hoco-hd6-belyy/" TargetMode="External"/><Relationship Id="rId_hyperlink_1531" Type="http://schemas.openxmlformats.org/officeDocument/2006/relationships/hyperlink" Target="https://optovikufa.ru/product/239721/derzhatel-mobilnogo-telefona-hoco-ph50-metal-belyy/" TargetMode="External"/><Relationship Id="rId_hyperlink_1532" Type="http://schemas.openxmlformats.org/officeDocument/2006/relationships/hyperlink" Target="https://optovikufa.ru/product/240957/derzhatel-mobilnogo-telefona-nastolnyy-g9/" TargetMode="External"/><Relationship Id="rId_hyperlink_1533" Type="http://schemas.openxmlformats.org/officeDocument/2006/relationships/hyperlink" Target="https://optovikufa.ru/product/237188/derzhatel-nastolnyy-dlya-telefona-borofone-bh75-belyy/" TargetMode="External"/><Relationship Id="rId_hyperlink_1534" Type="http://schemas.openxmlformats.org/officeDocument/2006/relationships/hyperlink" Target="https://optovikufa.ru/product/237189/derzhatel-nastolnyy-dlya-telefona-borofone-bh75-chernyy/" TargetMode="External"/><Relationship Id="rId_hyperlink_1535" Type="http://schemas.openxmlformats.org/officeDocument/2006/relationships/hyperlink" Target="https://optovikufa.ru/product/241861/podstavka-dlya-smartfona-nastolnaya-borofone-bh27-chernaya/" TargetMode="External"/><Relationship Id="rId_hyperlink_1536" Type="http://schemas.openxmlformats.org/officeDocument/2006/relationships/hyperlink" Target="https://optovikufa.ru/product/227781/podstavka-dlya-telefona-s059/" TargetMode="External"/><Relationship Id="rId_hyperlink_1537" Type="http://schemas.openxmlformats.org/officeDocument/2006/relationships/hyperlink" Target="https://optovikufa.ru/product/141749/data-kabel-lg/" TargetMode="External"/><Relationship Id="rId_hyperlink_1538" Type="http://schemas.openxmlformats.org/officeDocument/2006/relationships/hyperlink" Target="https://optovikufa.ru/product/141751/data-kabel-dlya-samsung-d808/" TargetMode="External"/><Relationship Id="rId_hyperlink_1539" Type="http://schemas.openxmlformats.org/officeDocument/2006/relationships/hyperlink" Target="https://optovikufa.ru/product/229078/igly-dlya-snyatiya-sim-kart-upak-5sht/" TargetMode="External"/><Relationship Id="rId_hyperlink_1540" Type="http://schemas.openxmlformats.org/officeDocument/2006/relationships/hyperlink" Target="https://optovikufa.ru/product/242404/prozhektor-svetodiodnyy-pro-led-600-dlya-foto-i-videosemki/" TargetMode="External"/><Relationship Id="rId_hyperlink_1541" Type="http://schemas.openxmlformats.org/officeDocument/2006/relationships/hyperlink" Target="https://optovikufa.ru/product/242403/prozhektor-svetodiodnyy-pro-led-800-dlya-foto-i-videosemki/" TargetMode="External"/><Relationship Id="rId_hyperlink_1542" Type="http://schemas.openxmlformats.org/officeDocument/2006/relationships/hyperlink" Target="https://optovikufa.ru/product/240255/monopod-dlya-selfi-s-knopkoy-na-ruchke-q7-bluetooth/" TargetMode="External"/><Relationship Id="rId_hyperlink_1543" Type="http://schemas.openxmlformats.org/officeDocument/2006/relationships/hyperlink" Target="https://optovikufa.ru/product/233183/selfi-shtativ-monopod-hoco-k17-bluetooth-chernyy/" TargetMode="External"/><Relationship Id="rId_hyperlink_1544" Type="http://schemas.openxmlformats.org/officeDocument/2006/relationships/hyperlink" Target="https://optovikufa.ru/product/233862/gibkiy-shtativ-dlya-telefona-ili-fotoapparata/" TargetMode="External"/><Relationship Id="rId_hyperlink_1545" Type="http://schemas.openxmlformats.org/officeDocument/2006/relationships/hyperlink" Target="https://optovikufa.ru/product/233847/derzhatel-klipsa-dlya-monopodov-i-tripodov-dream-d7/" TargetMode="External"/><Relationship Id="rId_hyperlink_1546" Type="http://schemas.openxmlformats.org/officeDocument/2006/relationships/hyperlink" Target="https://optovikufa.ru/product/222663/kronshteyn-derzhatel-dlya-krepleniya-telefonov-i-planshetov-na-shtativ-d6-55-85sm11-18sm/" TargetMode="External"/><Relationship Id="rId_hyperlink_1547" Type="http://schemas.openxmlformats.org/officeDocument/2006/relationships/hyperlink" Target="https://optovikufa.ru/product/227383/monopod-shtativ-tripod-k07/" TargetMode="External"/><Relationship Id="rId_hyperlink_1548" Type="http://schemas.openxmlformats.org/officeDocument/2006/relationships/hyperlink" Target="https://optovikufa.ru/product/221672/shtativ-stoyka-21m-chernyy-horoshee-kachestvo/" TargetMode="External"/><Relationship Id="rId_hyperlink_1549" Type="http://schemas.openxmlformats.org/officeDocument/2006/relationships/hyperlink" Target="https://optovikufa.ru/product/165647/shtativ-tripod-3110-uroven-poverhnosti-vozmozhnost-ustanovki-telefona/" TargetMode="External"/><Relationship Id="rId_hyperlink_1550" Type="http://schemas.openxmlformats.org/officeDocument/2006/relationships/hyperlink" Target="https://optovikufa.ru/product/242092/shtativ-tripod-dream-tr21-chernyy/" TargetMode="External"/><Relationship Id="rId_hyperlink_1551" Type="http://schemas.openxmlformats.org/officeDocument/2006/relationships/hyperlink" Target="https://optovikufa.ru/product/241941/shtativ-tripod-dlya-smartfonov-dream-d7-chernyy/" TargetMode="External"/><Relationship Id="rId_hyperlink_1552" Type="http://schemas.openxmlformats.org/officeDocument/2006/relationships/hyperlink" Target="https://optovikufa.ru/product/218674/shtativ-tripod-dlya-smartfonov-dream-fp1-chernyy/" TargetMode="External"/><Relationship Id="rId_hyperlink_1553" Type="http://schemas.openxmlformats.org/officeDocument/2006/relationships/hyperlink" Target="https://optovikufa.ru/product/222718/nakladka-universalnaya-50-53-jidanke-002/" TargetMode="External"/><Relationship Id="rId_hyperlink_1554" Type="http://schemas.openxmlformats.org/officeDocument/2006/relationships/hyperlink" Target="https://optovikufa.ru/product/171633/nakladka-universalnaya-50-53-jidanke-003/" TargetMode="External"/><Relationship Id="rId_hyperlink_1555" Type="http://schemas.openxmlformats.org/officeDocument/2006/relationships/hyperlink" Target="https://optovikufa.ru/product/171634/nakladka-universalnaya-50-53-jidanke-007/" TargetMode="External"/><Relationship Id="rId_hyperlink_1556" Type="http://schemas.openxmlformats.org/officeDocument/2006/relationships/hyperlink" Target="https://optovikufa.ru/product/222719/nakladka-universalnaya-53-56-jidanke-002/" TargetMode="External"/><Relationship Id="rId_hyperlink_1557" Type="http://schemas.openxmlformats.org/officeDocument/2006/relationships/hyperlink" Target="https://optovikufa.ru/product/171636/nakladka-universalnaya-53-56-jidanke-003/" TargetMode="External"/><Relationship Id="rId_hyperlink_1558" Type="http://schemas.openxmlformats.org/officeDocument/2006/relationships/hyperlink" Target="https://optovikufa.ru/product/222720/nakladka-universalnaya-53-56-jidanke-007/" TargetMode="External"/><Relationship Id="rId_hyperlink_1559" Type="http://schemas.openxmlformats.org/officeDocument/2006/relationships/hyperlink" Target="https://optovikufa.ru/product/168646/nakladka-universalnaya-activ-asc-102-35-40-belyy/" TargetMode="External"/><Relationship Id="rId_hyperlink_1560" Type="http://schemas.openxmlformats.org/officeDocument/2006/relationships/hyperlink" Target="https://optovikufa.ru/product/168645/nakladka-universalnaya-activ-asc-102-35-40-siniy/" TargetMode="External"/><Relationship Id="rId_hyperlink_1561" Type="http://schemas.openxmlformats.org/officeDocument/2006/relationships/hyperlink" Target="https://optovikufa.ru/product/168663/nakladka-universalnaya-activ-unic-203-43-47-siniy/" TargetMode="External"/><Relationship Id="rId_hyperlink_1562" Type="http://schemas.openxmlformats.org/officeDocument/2006/relationships/hyperlink" Target="https://optovikufa.ru/product/217311/chehol-universalnyy-40-45-dream-zoloto/" TargetMode="External"/><Relationship Id="rId_hyperlink_1563" Type="http://schemas.openxmlformats.org/officeDocument/2006/relationships/hyperlink" Target="https://optovikufa.ru/product/217314/chehol-universalnyy-40-45-dream-s-kolcom-chernyy-tehpak/" TargetMode="External"/><Relationship Id="rId_hyperlink_1564" Type="http://schemas.openxmlformats.org/officeDocument/2006/relationships/hyperlink" Target="https://optovikufa.ru/product/171590/chehol-knizhka-universalnaya-43-55-activ-magic-element-gray/" TargetMode="External"/><Relationship Id="rId_hyperlink_1565" Type="http://schemas.openxmlformats.org/officeDocument/2006/relationships/hyperlink" Target="https://optovikufa.ru/product/131384/nakladka-zadnyaya-ultratonkaya-dlya-samsung-n9000-galaxy-note3-brera-nylon-slim-zheltyy/" TargetMode="External"/><Relationship Id="rId_hyperlink_1566" Type="http://schemas.openxmlformats.org/officeDocument/2006/relationships/hyperlink" Target="https://optovikufa.ru/product/219158/nakladka-kak-steklo-silikonovye-kraya-dlya-iphone-78-krasnaya/" TargetMode="External"/><Relationship Id="rId_hyperlink_1567" Type="http://schemas.openxmlformats.org/officeDocument/2006/relationships/hyperlink" Target="https://optovikufa.ru/product/218864/nakladka-kak-steklo-silikonovye-kraya-dlya-iphone-xxs-zheltaya/" TargetMode="External"/><Relationship Id="rId_hyperlink_1568" Type="http://schemas.openxmlformats.org/officeDocument/2006/relationships/hyperlink" Target="https://optovikufa.ru/product/219161/nakladka-kozha-s-logotipom-dlya-iphone-78-chernaya-tehpak/" TargetMode="External"/><Relationship Id="rId_hyperlink_1569" Type="http://schemas.openxmlformats.org/officeDocument/2006/relationships/hyperlink" Target="https://optovikufa.ru/product/166681/nakladka-plastikovaya-dlya-iphone-6-plus-pc002-black/" TargetMode="External"/><Relationship Id="rId_hyperlink_1570" Type="http://schemas.openxmlformats.org/officeDocument/2006/relationships/hyperlink" Target="https://optovikufa.ru/product/166682/nakladka-plastikovaya-dlya-iphone-6-plus-pc002-blue/" TargetMode="External"/><Relationship Id="rId_hyperlink_1571" Type="http://schemas.openxmlformats.org/officeDocument/2006/relationships/hyperlink" Target="https://optovikufa.ru/product/166683/nakladka-plastikovaya-dlya-iphone-6-plus-pc002-gold/" TargetMode="External"/><Relationship Id="rId_hyperlink_1572" Type="http://schemas.openxmlformats.org/officeDocument/2006/relationships/hyperlink" Target="https://optovikufa.ru/product/220858/nakladka-silikonovaya-huawei-honor-10-tehpakbarhatnaya-chernaya-case-smartphone/" TargetMode="External"/><Relationship Id="rId_hyperlink_1573" Type="http://schemas.openxmlformats.org/officeDocument/2006/relationships/hyperlink" Target="https://optovikufa.ru/product/132040/nakladka-silikonovaya-dlya-huawei-honor-6x-prozrachnaya/" TargetMode="External"/><Relationship Id="rId_hyperlink_1574" Type="http://schemas.openxmlformats.org/officeDocument/2006/relationships/hyperlink" Target="https://optovikufa.ru/product/132041/nakladka-silikonovaya-dlya-huawei-p10-lite-prozrachnaya/" TargetMode="External"/><Relationship Id="rId_hyperlink_1575" Type="http://schemas.openxmlformats.org/officeDocument/2006/relationships/hyperlink" Target="https://optovikufa.ru/product/144488/nakladka-silikonovaya-dlya-iphone-78-print/" TargetMode="External"/><Relationship Id="rId_hyperlink_1576" Type="http://schemas.openxmlformats.org/officeDocument/2006/relationships/hyperlink" Target="https://optovikufa.ru/product/146103/nakladka-silikonovaya-dlya-iphone-xxs-prozrachnyy/" TargetMode="External"/><Relationship Id="rId_hyperlink_1577" Type="http://schemas.openxmlformats.org/officeDocument/2006/relationships/hyperlink" Target="https://optovikufa.ru/product/171818/nakladka-silikonovaya-dlya-meizu-m3-note-chernyy-s-risunkom/" TargetMode="External"/><Relationship Id="rId_hyperlink_1578" Type="http://schemas.openxmlformats.org/officeDocument/2006/relationships/hyperlink" Target="https://optovikufa.ru/product/171760/nakladka-silikonovaya-dlya-meizu-m3s-chernyy-s-risunkom/" TargetMode="External"/><Relationship Id="rId_hyperlink_1579" Type="http://schemas.openxmlformats.org/officeDocument/2006/relationships/hyperlink" Target="https://optovikufa.ru/product/132043/nakladka-silikonovaya-dlya-meizu-u10-prozrachnyy/" TargetMode="External"/><Relationship Id="rId_hyperlink_1580" Type="http://schemas.openxmlformats.org/officeDocument/2006/relationships/hyperlink" Target="https://optovikufa.ru/product/132044/nakladka-silikonovaya-dlya-meizu-u20-prozrachnyy/" TargetMode="External"/><Relationship Id="rId_hyperlink_1581" Type="http://schemas.openxmlformats.org/officeDocument/2006/relationships/hyperlink" Target="https://optovikufa.ru/product/219146/nakladka-silikonovaya-dlya-samsung-a20-baseus-chernaya-tehpak/" TargetMode="External"/><Relationship Id="rId_hyperlink_1582" Type="http://schemas.openxmlformats.org/officeDocument/2006/relationships/hyperlink" Target="https://optovikufa.ru/product/219757/nakladka-silikonovaya-dlya-samsung-a20-prozrachnaya-s-okantovkoy-krasnaya/" TargetMode="External"/><Relationship Id="rId_hyperlink_1583" Type="http://schemas.openxmlformats.org/officeDocument/2006/relationships/hyperlink" Target="https://optovikufa.ru/product/170066/nakladka-silikonovaya-dlya-samsung-a3-2016-a3100-prozrachnaya-tehpak/" TargetMode="External"/><Relationship Id="rId_hyperlink_1584" Type="http://schemas.openxmlformats.org/officeDocument/2006/relationships/hyperlink" Target="https://optovikufa.ru/product/144901/nakladka-silikonovaya-dlya-samsung-a3-2017-a320f-chernaya-tehpak/" TargetMode="External"/><Relationship Id="rId_hyperlink_1585" Type="http://schemas.openxmlformats.org/officeDocument/2006/relationships/hyperlink" Target="https://optovikufa.ru/product/171761/nakladka-silikonovaya-dlya-samsung-a310-chernaya-s-risunokom-tehpak/" TargetMode="External"/><Relationship Id="rId_hyperlink_1586" Type="http://schemas.openxmlformats.org/officeDocument/2006/relationships/hyperlink" Target="https://optovikufa.ru/product/132068/nakladka-silikonovaya-dlya-samsung-a310-chernaya-tehpak/" TargetMode="External"/><Relationship Id="rId_hyperlink_1587" Type="http://schemas.openxmlformats.org/officeDocument/2006/relationships/hyperlink" Target="https://optovikufa.ru/product/171762/nakladka-silikonovaya-dlya-samsung-a320-chernaya-s-risunokom-tehpak/" TargetMode="External"/><Relationship Id="rId_hyperlink_1588" Type="http://schemas.openxmlformats.org/officeDocument/2006/relationships/hyperlink" Target="https://optovikufa.ru/product/219759/nakladka-silikonovaya-dlya-samsung-a40-prozrachnaya-s-okantovkoy-krasnaya/" TargetMode="External"/><Relationship Id="rId_hyperlink_1589" Type="http://schemas.openxmlformats.org/officeDocument/2006/relationships/hyperlink" Target="https://optovikufa.ru/product/145410/nakladka-silikonovaya-dlya-samsung-a7-2017-a720-chernaya-tehpak/" TargetMode="External"/><Relationship Id="rId_hyperlink_1590" Type="http://schemas.openxmlformats.org/officeDocument/2006/relationships/hyperlink" Target="https://optovikufa.ru/product/132071/nakladka-silikonovaya-dlya-samsung-a7-2017-a720f-chernaya-tehpak/" TargetMode="External"/><Relationship Id="rId_hyperlink_1591" Type="http://schemas.openxmlformats.org/officeDocument/2006/relationships/hyperlink" Target="https://optovikufa.ru/product/219151/nakladka-silikonovaya-dlya-samsung-a7-a750-2018-baseus-chernaya-tehpak/" TargetMode="External"/><Relationship Id="rId_hyperlink_1592" Type="http://schemas.openxmlformats.org/officeDocument/2006/relationships/hyperlink" Target="https://optovikufa.ru/product/124876/nakladka-silikonovaya-dlya-samsung-a710-2016-prozrachnyy-tehpak/" TargetMode="External"/><Relationship Id="rId_hyperlink_1593" Type="http://schemas.openxmlformats.org/officeDocument/2006/relationships/hyperlink" Target="https://optovikufa.ru/product/165861/nakladka-silikonovaya-dlya-samsung-a710-2016-chernaya-tehpak/" TargetMode="External"/><Relationship Id="rId_hyperlink_1594" Type="http://schemas.openxmlformats.org/officeDocument/2006/relationships/hyperlink" Target="https://optovikufa.ru/product/219170/nakladka-silikonovaya-dlya-samsung-a8-plus-2018-prozrachnaya/" TargetMode="External"/><Relationship Id="rId_hyperlink_1595" Type="http://schemas.openxmlformats.org/officeDocument/2006/relationships/hyperlink" Target="https://optovikufa.ru/product/219171/nakladka-silikonovaya-dlya-samsung-a8-stara9-star-prozrachnaya/" TargetMode="External"/><Relationship Id="rId_hyperlink_1596" Type="http://schemas.openxmlformats.org/officeDocument/2006/relationships/hyperlink" Target="https://optovikufa.ru/product/218875/nakladka-silikonovaya-dlya-samsung-a9-2018-prozrachnaya/" TargetMode="External"/><Relationship Id="rId_hyperlink_1597" Type="http://schemas.openxmlformats.org/officeDocument/2006/relationships/hyperlink" Target="https://optovikufa.ru/product/183466/nakladka-silikonovaya-dlya-samsung-a9-oxion-prozrachno-seryy-ultratonkayaosc007gy/" TargetMode="External"/><Relationship Id="rId_hyperlink_1598" Type="http://schemas.openxmlformats.org/officeDocument/2006/relationships/hyperlink" Target="https://optovikufa.ru/product/183467/nakladka-silikonovaya-dlya-samsung-a9-oxion-prozrachnyy-ultratonkaya-osc007cl/" TargetMode="External"/><Relationship Id="rId_hyperlink_1599" Type="http://schemas.openxmlformats.org/officeDocument/2006/relationships/hyperlink" Target="https://optovikufa.ru/product/132047/nakladka-silikonovaya-dlya-samsung-j1-j120-2016-prozrachnyy-tehpak/" TargetMode="External"/><Relationship Id="rId_hyperlink_1600" Type="http://schemas.openxmlformats.org/officeDocument/2006/relationships/hyperlink" Target="https://optovikufa.ru/product/165862/nakladka-silikonovaya-dlya-samsung-j1-chernaya-tehpak/" TargetMode="External"/><Relationship Id="rId_hyperlink_1601" Type="http://schemas.openxmlformats.org/officeDocument/2006/relationships/hyperlink" Target="https://optovikufa.ru/product/219172/nakladka-silikonovaya-dlya-samsung-j2-pro-2018-prozrachnyy/" TargetMode="External"/><Relationship Id="rId_hyperlink_1602" Type="http://schemas.openxmlformats.org/officeDocument/2006/relationships/hyperlink" Target="https://optovikufa.ru/product/124878/nakladka-silikonovaya-dlya-samsung-j2-prozrachnyy-tehpak/" TargetMode="External"/><Relationship Id="rId_hyperlink_1603" Type="http://schemas.openxmlformats.org/officeDocument/2006/relationships/hyperlink" Target="https://optovikufa.ru/product/219173/nakladka-silikonovaya-dlya-samsung-j3-2018-prozrachnaya/" TargetMode="External"/><Relationship Id="rId_hyperlink_1604" Type="http://schemas.openxmlformats.org/officeDocument/2006/relationships/hyperlink" Target="https://optovikufa.ru/product/165859/nakladka-silikonovaya-dlya-samsung-j3-prozrachnyy-tehpak/" TargetMode="External"/><Relationship Id="rId_hyperlink_1605" Type="http://schemas.openxmlformats.org/officeDocument/2006/relationships/hyperlink" Target="https://optovikufa.ru/product/131518/nakladka-silikonovaya-dlya-samsung-j3j320j310f-chernaya-tehpak/" TargetMode="External"/><Relationship Id="rId_hyperlink_1606" Type="http://schemas.openxmlformats.org/officeDocument/2006/relationships/hyperlink" Target="https://optovikufa.ru/product/134534/nakladka-silikonovaya-dlya-samsung-j310-chernaya-tehpak/" TargetMode="External"/><Relationship Id="rId_hyperlink_1607" Type="http://schemas.openxmlformats.org/officeDocument/2006/relationships/hyperlink" Target="https://optovikufa.ru/product/219174/nakladka-silikonovaya-dlya-samsung-j4-2018-prozrachnyy/" TargetMode="External"/><Relationship Id="rId_hyperlink_1608" Type="http://schemas.openxmlformats.org/officeDocument/2006/relationships/hyperlink" Target="https://optovikufa.ru/product/219166/nakladka-silikonovaya-dlya-samsung-j4-core-siniy/" TargetMode="External"/><Relationship Id="rId_hyperlink_1609" Type="http://schemas.openxmlformats.org/officeDocument/2006/relationships/hyperlink" Target="https://optovikufa.ru/product/219153/nakladka-silikonovaya-dlya-samsung-j4-corebaseus-chernaya-tehpak/" TargetMode="External"/><Relationship Id="rId_hyperlink_1610" Type="http://schemas.openxmlformats.org/officeDocument/2006/relationships/hyperlink" Target="https://optovikufa.ru/product/218876/nakladka-silikonovaya-dlya-samsung-j4-corej4-plus-prozrachnyy/" TargetMode="External"/><Relationship Id="rId_hyperlink_1611" Type="http://schemas.openxmlformats.org/officeDocument/2006/relationships/hyperlink" Target="https://optovikufa.ru/product/219175/nakladka-silikonovaya-dlya-samsung-j4-plus-2018-prozrachnyy/" TargetMode="External"/><Relationship Id="rId_hyperlink_1612" Type="http://schemas.openxmlformats.org/officeDocument/2006/relationships/hyperlink" Target="https://optovikufa.ru/product/167007/nakladka-silikonovaya-dlya-samsung-j5-prime-prozrachnyy-tehpak/" TargetMode="External"/><Relationship Id="rId_hyperlink_1613" Type="http://schemas.openxmlformats.org/officeDocument/2006/relationships/hyperlink" Target="https://optovikufa.ru/product/171766/nakladka-silikonovaya-dlya-samsung-j5-prime-chernaya-s-risunokom-tehpak/" TargetMode="External"/><Relationship Id="rId_hyperlink_1614" Type="http://schemas.openxmlformats.org/officeDocument/2006/relationships/hyperlink" Target="https://optovikufa.ru/product/160991/nakladka-silikonovaya-dlya-samsung-j5-prime-chernaya-tehpak/" TargetMode="External"/><Relationship Id="rId_hyperlink_1615" Type="http://schemas.openxmlformats.org/officeDocument/2006/relationships/hyperlink" Target="https://optovikufa.ru/product/124879/nakladka-silikonovaya-dlya-samsung-j5-prozrachnyy-tehpak/" TargetMode="External"/><Relationship Id="rId_hyperlink_1616" Type="http://schemas.openxmlformats.org/officeDocument/2006/relationships/hyperlink" Target="https://optovikufa.ru/product/165864/nakladka-silikonovaya-dlya-samsung-j5-chernaya-tehpak/" TargetMode="External"/><Relationship Id="rId_hyperlink_1617" Type="http://schemas.openxmlformats.org/officeDocument/2006/relationships/hyperlink" Target="https://optovikufa.ru/product/146106/nakladka-silikonovaya-dlya-samsung-j530-j5-pro-2017-prozrachnyy-tehpak/" TargetMode="External"/><Relationship Id="rId_hyperlink_1618" Type="http://schemas.openxmlformats.org/officeDocument/2006/relationships/hyperlink" Target="https://optovikufa.ru/product/171753/nakladka-silikonovaya-dlya-samsung-j6-prozrachnyy-tehpak/" TargetMode="External"/><Relationship Id="rId_hyperlink_1619" Type="http://schemas.openxmlformats.org/officeDocument/2006/relationships/hyperlink" Target="https://optovikufa.ru/product/127925/nakladka-silikonovaya-dlya-samsung-j7-2015-prozrachnyy-tehpak/" TargetMode="External"/><Relationship Id="rId_hyperlink_1620" Type="http://schemas.openxmlformats.org/officeDocument/2006/relationships/hyperlink" Target="https://optovikufa.ru/product/171942/nakladka-silikonovaya-dlya-samsung-j7-prime/" TargetMode="External"/><Relationship Id="rId_hyperlink_1621" Type="http://schemas.openxmlformats.org/officeDocument/2006/relationships/hyperlink" Target="https://optovikufa.ru/product/183471/nakladka-silikonovaya-dlya-samsung-j7-prozrachnyy-oxion-osc012cl-ultratonkaya/" TargetMode="External"/><Relationship Id="rId_hyperlink_1622" Type="http://schemas.openxmlformats.org/officeDocument/2006/relationships/hyperlink" Target="https://optovikufa.ru/product/165866/nakladka-silikonovaya-dlya-samsung-j7-chernaya-tehpak/" TargetMode="External"/><Relationship Id="rId_hyperlink_1623" Type="http://schemas.openxmlformats.org/officeDocument/2006/relationships/hyperlink" Target="https://optovikufa.ru/product/165867/nakladka-silikonovaya-dlya-samsung-j710-j7-2016-chernayatehpak/" TargetMode="External"/><Relationship Id="rId_hyperlink_1624" Type="http://schemas.openxmlformats.org/officeDocument/2006/relationships/hyperlink" Target="https://optovikufa.ru/product/127551/nakladka-silikonovaya-dlya-samsung-j710-prozrachnyy-tehpak/" TargetMode="External"/><Relationship Id="rId_hyperlink_1625" Type="http://schemas.openxmlformats.org/officeDocument/2006/relationships/hyperlink" Target="https://optovikufa.ru/product/146107/nakladka-silikonovaya-dlya-samsung-j730-j7-pro-2017-prozrachnyy-tehpak/" TargetMode="External"/><Relationship Id="rId_hyperlink_1626" Type="http://schemas.openxmlformats.org/officeDocument/2006/relationships/hyperlink" Target="https://optovikufa.ru/product/219154/nakladka-silikonovaya-dlya-samsung-j8-2018-baseus-chernaya-tehpak/" TargetMode="External"/><Relationship Id="rId_hyperlink_1627" Type="http://schemas.openxmlformats.org/officeDocument/2006/relationships/hyperlink" Target="https://optovikufa.ru/product/219178/nakladka-silikonovaya-dlya-samsung-j8-2018-prozrachnyy/" TargetMode="External"/><Relationship Id="rId_hyperlink_1628" Type="http://schemas.openxmlformats.org/officeDocument/2006/relationships/hyperlink" Target="https://optovikufa.ru/product/218877/nakladka-silikonovaya-dlya-samsung-m10-prozrachnaya/" TargetMode="External"/><Relationship Id="rId_hyperlink_1629" Type="http://schemas.openxmlformats.org/officeDocument/2006/relationships/hyperlink" Target="https://optovikufa.ru/product/218878/nakladka-silikonovaya-dlya-samsung-m20-prozrachnaya/" TargetMode="External"/><Relationship Id="rId_hyperlink_1630" Type="http://schemas.openxmlformats.org/officeDocument/2006/relationships/hyperlink" Target="https://optovikufa.ru/product/219179/nakladka-silikonovaya-dlya-samsung-note-8-prozrachnaya/" TargetMode="External"/><Relationship Id="rId_hyperlink_1631" Type="http://schemas.openxmlformats.org/officeDocument/2006/relationships/hyperlink" Target="https://optovikufa.ru/product/219180/nakladka-silikonovaya-dlya-samsung-note-9-prozrachnaya/" TargetMode="External"/><Relationship Id="rId_hyperlink_1632" Type="http://schemas.openxmlformats.org/officeDocument/2006/relationships/hyperlink" Target="https://optovikufa.ru/product/219155/nakladka-silikonovaya-dlya-samsung-s10-baseus-chernaya-tehpak/" TargetMode="External"/><Relationship Id="rId_hyperlink_1633" Type="http://schemas.openxmlformats.org/officeDocument/2006/relationships/hyperlink" Target="https://optovikufa.ru/product/171754/nakladka-silikonovaya-dlya-samsung-s7-edge-prozrachnyy-tehpak/" TargetMode="External"/><Relationship Id="rId_hyperlink_1634" Type="http://schemas.openxmlformats.org/officeDocument/2006/relationships/hyperlink" Target="https://optovikufa.ru/product/183472/nakladka-silikonovaya-dlya-samsung-s7-edge-prozrachno-seryy-oxion-osc008gy-ultratonkaya/" TargetMode="External"/><Relationship Id="rId_hyperlink_1635" Type="http://schemas.openxmlformats.org/officeDocument/2006/relationships/hyperlink" Target="https://optovikufa.ru/product/183473/nakladka-silikonovaya-dlya-samsung-s7-edge-prozrachnyy-oxion-osc008cl-ultratonkaya/" TargetMode="External"/><Relationship Id="rId_hyperlink_1636" Type="http://schemas.openxmlformats.org/officeDocument/2006/relationships/hyperlink" Target="https://optovikufa.ru/product/146109/nakladka-silikonovaya-dlya-samsung-s8-plus-prozrachnyy-tehpak/" TargetMode="External"/><Relationship Id="rId_hyperlink_1637" Type="http://schemas.openxmlformats.org/officeDocument/2006/relationships/hyperlink" Target="https://optovikufa.ru/product/219182/nakladka-silikonovaya-dlya-samsung-s9-prozrachnyy/" TargetMode="External"/><Relationship Id="rId_hyperlink_1638" Type="http://schemas.openxmlformats.org/officeDocument/2006/relationships/hyperlink" Target="https://optovikufa.ru/product/171755/nakladka-silikonovaya-dlya-samsung-s9-prozrachnyy-tehpak/" TargetMode="External"/><Relationship Id="rId_hyperlink_1639" Type="http://schemas.openxmlformats.org/officeDocument/2006/relationships/hyperlink" Target="https://optovikufa.ru/product/132051/nakladka-silikonovaya-dlya-xiaomi-redmi-3s-prozrachnyy/" TargetMode="External"/><Relationship Id="rId_hyperlink_1640" Type="http://schemas.openxmlformats.org/officeDocument/2006/relationships/hyperlink" Target="https://optovikufa.ru/product/171768/nakladka-silikonovaya-dlya-xiaomi-redmi-4-chernaya-s-risunkom/" TargetMode="External"/><Relationship Id="rId_hyperlink_1641" Type="http://schemas.openxmlformats.org/officeDocument/2006/relationships/hyperlink" Target="https://optovikufa.ru/product/171769/nakladka-silikonovaya-dlya-xiaomi-redmi-note-2-chernaya-s-risunkom/" TargetMode="External"/><Relationship Id="rId_hyperlink_1642" Type="http://schemas.openxmlformats.org/officeDocument/2006/relationships/hyperlink" Target="https://optovikufa.ru/product/183470/nakladka-silikonovaya-ultrotonkaya-dlya-samsung-j7-prozrachno-seryy-oxion-osc012gy/" TargetMode="External"/><Relationship Id="rId_hyperlink_1643" Type="http://schemas.openxmlformats.org/officeDocument/2006/relationships/hyperlink" Target="https://optovikufa.ru/product/131358/chehol-futlyar-kniga-dlya-iphone-6-plus-activ-flip-leather-belyy/" TargetMode="External"/><Relationship Id="rId_hyperlink_1644" Type="http://schemas.openxmlformats.org/officeDocument/2006/relationships/hyperlink" Target="https://optovikufa.ru/product/131356/chehol-futlyar-kniga-dlya-iphone-6-plus-activ-flip-leather-krasnyy/" TargetMode="External"/><Relationship Id="rId_hyperlink_1645" Type="http://schemas.openxmlformats.org/officeDocument/2006/relationships/hyperlink" Target="https://optovikufa.ru/product/131360/chehol-futlyar-kniga-dlya-iphone-6-plus-activ-flip-leather-chernyy/" TargetMode="External"/><Relationship Id="rId_hyperlink_1646" Type="http://schemas.openxmlformats.org/officeDocument/2006/relationships/hyperlink" Target="https://optovikufa.ru/product/171646/chehol-knizhka-dlya-iphone-78-plus-001-blacksilver-top-fashion/" TargetMode="External"/><Relationship Id="rId_hyperlink_1647" Type="http://schemas.openxmlformats.org/officeDocument/2006/relationships/hyperlink" Target="https://optovikufa.ru/product/171647/chehol-knizhka-dlya-iphone-78-plus-001-gold-top-fashion/" TargetMode="External"/><Relationship Id="rId_hyperlink_1648" Type="http://schemas.openxmlformats.org/officeDocument/2006/relationships/hyperlink" Target="https://optovikufa.ru/product/219773/chehol-knizhka-dlya-iphone-78-krasnyy-fashion-case/" TargetMode="External"/><Relationship Id="rId_hyperlink_1649" Type="http://schemas.openxmlformats.org/officeDocument/2006/relationships/hyperlink" Target="https://optovikufa.ru/product/171653/chehol-knizhka-dlya-iphone-xxs-gold-top-fashion-001/" TargetMode="External"/><Relationship Id="rId_hyperlink_1650" Type="http://schemas.openxmlformats.org/officeDocument/2006/relationships/hyperlink" Target="https://optovikufa.ru/product/160690/chehol-nakladka-dlya-iphone-6-activ-reptilianmetall-coffee/" TargetMode="External"/><Relationship Id="rId_hyperlink_1651" Type="http://schemas.openxmlformats.org/officeDocument/2006/relationships/hyperlink" Target="https://optovikufa.ru/product/160691/chehol-nakladka-dlya-iphone-6-plus-activ-reptilianmetall-black/" TargetMode="External"/><Relationship Id="rId_hyperlink_1652" Type="http://schemas.openxmlformats.org/officeDocument/2006/relationships/hyperlink" Target="https://optovikufa.ru/product/166658/chehol-nakladka-dlya-iphone-6-plus-glamour-bluesilver/" TargetMode="External"/><Relationship Id="rId_hyperlink_1653" Type="http://schemas.openxmlformats.org/officeDocument/2006/relationships/hyperlink" Target="https://optovikufa.ru/product/160702/chehol-nakladka-dlya-iphone-6-plus-remax-crystal-gold/" TargetMode="External"/><Relationship Id="rId_hyperlink_1654" Type="http://schemas.openxmlformats.org/officeDocument/2006/relationships/hyperlink" Target="https://optovikufa.ru/product/160703/chehol-nakladka-dlya-iphone-6-plus-remax-crystal-rose-gold/" TargetMode="External"/><Relationship Id="rId_hyperlink_1655" Type="http://schemas.openxmlformats.org/officeDocument/2006/relationships/hyperlink" Target="https://optovikufa.ru/product/160654/chehol-nakladka-dlya-iphone-78-gold-pc002/" TargetMode="External"/><Relationship Id="rId_hyperlink_1656" Type="http://schemas.openxmlformats.org/officeDocument/2006/relationships/hyperlink" Target="https://optovikufa.ru/product/168897/chehol-nakladka-dlya-iphone-78-kst-violetorange/" TargetMode="External"/><Relationship Id="rId_hyperlink_1657" Type="http://schemas.openxmlformats.org/officeDocument/2006/relationships/hyperlink" Target="https://optovikufa.ru/product/168748/chehol-nakladka-dlya-iphone-78-pc013-002/" TargetMode="External"/><Relationship Id="rId_hyperlink_1658" Type="http://schemas.openxmlformats.org/officeDocument/2006/relationships/hyperlink" Target="https://optovikufa.ru/product/168752/chehol-nakladka-dlya-iphone-78-pc013-017/" TargetMode="External"/><Relationship Id="rId_hyperlink_1659" Type="http://schemas.openxmlformats.org/officeDocument/2006/relationships/hyperlink" Target="https://optovikufa.ru/product/160658/chehol-nakladka-dlya-iphone-78-plus-blue-pc002/" TargetMode="External"/><Relationship Id="rId_hyperlink_1660" Type="http://schemas.openxmlformats.org/officeDocument/2006/relationships/hyperlink" Target="https://optovikufa.ru/product/166665/chehol-nakladka-dlya-iphone-78-plus-purplesilver-glamour/" TargetMode="External"/><Relationship Id="rId_hyperlink_1661" Type="http://schemas.openxmlformats.org/officeDocument/2006/relationships/hyperlink" Target="https://optovikufa.ru/product/160661/chehol-nakladka-dlya-iphone-78-plus-rose-gold-pc002/" TargetMode="External"/><Relationship Id="rId_hyperlink_1662" Type="http://schemas.openxmlformats.org/officeDocument/2006/relationships/hyperlink" Target="https://optovikufa.ru/product/160656/chehol-nakladka-dlya-iphone-78-rose-gold-pc002/" TargetMode="External"/><Relationship Id="rId_hyperlink_1663" Type="http://schemas.openxmlformats.org/officeDocument/2006/relationships/hyperlink" Target="https://optovikufa.ru/product/168803/chehol-nakladka-dlya-iphone-78-sc043-004/" TargetMode="External"/><Relationship Id="rId_hyperlink_1664" Type="http://schemas.openxmlformats.org/officeDocument/2006/relationships/hyperlink" Target="https://optovikufa.ru/product/168836/chehol-nakladka-dlya-iphone-78-sc046-zelenyy/" TargetMode="External"/><Relationship Id="rId_hyperlink_1665" Type="http://schemas.openxmlformats.org/officeDocument/2006/relationships/hyperlink" Target="https://optovikufa.ru/product/168925/chehol-nakladka-dlya-iphone-78-krasnyy-the-ultimate-experience-airbird/" TargetMode="External"/><Relationship Id="rId_hyperlink_1666" Type="http://schemas.openxmlformats.org/officeDocument/2006/relationships/hyperlink" Target="https://optovikufa.ru/product/168920/chehol-nakladka-dlya-iphone-78-krasnyy-the-ultimate-experience-airbird2/" TargetMode="External"/><Relationship Id="rId_hyperlink_1667" Type="http://schemas.openxmlformats.org/officeDocument/2006/relationships/hyperlink" Target="https://optovikufa.ru/product/160678/chehol-nakladka-dlya-iphone-78-cvetochnyy-print-01-sc012/" TargetMode="External"/><Relationship Id="rId_hyperlink_1668" Type="http://schemas.openxmlformats.org/officeDocument/2006/relationships/hyperlink" Target="https://optovikufa.ru/product/168924/chehol-nakladka-dlya-iphone-78-chernyy-the-ultimate-experience-airbird/" TargetMode="External"/><Relationship Id="rId_hyperlink_1669" Type="http://schemas.openxmlformats.org/officeDocument/2006/relationships/hyperlink" Target="https://optovikufa.ru/product/160695/chehol-nakladka-dlya-iphone-78-grey-activ-reptilianmetall/" TargetMode="External"/><Relationship Id="rId_hyperlink_1670" Type="http://schemas.openxmlformats.org/officeDocument/2006/relationships/hyperlink" Target="https://optovikufa.ru/product/168683/chehol-nakladka-dlya-iphone-xxs-gold-glamour/" TargetMode="External"/><Relationship Id="rId_hyperlink_1671" Type="http://schemas.openxmlformats.org/officeDocument/2006/relationships/hyperlink" Target="https://optovikufa.ru/product/167798/chehol-nakladka-dlya-iphone-xxssiniy-leather/" TargetMode="External"/><Relationship Id="rId_hyperlink_1672" Type="http://schemas.openxmlformats.org/officeDocument/2006/relationships/hyperlink" Target="https://optovikufa.ru/product/168733/chehol-nakladka-dlya-samsung-j5-2016-pc002-chernyy/" TargetMode="External"/><Relationship Id="rId_hyperlink_1673" Type="http://schemas.openxmlformats.org/officeDocument/2006/relationships/hyperlink" Target="https://optovikufa.ru/product/168708/chehol-nakladka-dlya-xiaomi-redmi-4a-glamour-gold/" TargetMode="External"/><Relationship Id="rId_hyperlink_1674" Type="http://schemas.openxmlformats.org/officeDocument/2006/relationships/hyperlink" Target="https://optovikufa.ru/product/168869/chehol-nakladka-dlya-xiaomi-redmi-4x-sc088-008/" TargetMode="External"/><Relationship Id="rId_hyperlink_1675" Type="http://schemas.openxmlformats.org/officeDocument/2006/relationships/hyperlink" Target="https://optovikufa.ru/product/242360/vesy-dlya-nastroyki-tonarmov-mernaya-girka-5gr-v-komplekte/" TargetMode="External"/><Relationship Id="rId_hyperlink_1676" Type="http://schemas.openxmlformats.org/officeDocument/2006/relationships/hyperlink" Target="https://optovikufa.ru/product/242365/golovka-zvukosnimatelya-kartridzh-mm-modifiaciya-at91-at-3600l/" TargetMode="External"/><Relationship Id="rId_hyperlink_1677" Type="http://schemas.openxmlformats.org/officeDocument/2006/relationships/hyperlink" Target="https://optovikufa.ru/product/242341/klemp-s-urovenem-prizhim-stabilizator-razmetka-dlya-stroboskoma-280gr-rozovoe-zoloto/" TargetMode="External"/><Relationship Id="rId_hyperlink_1678" Type="http://schemas.openxmlformats.org/officeDocument/2006/relationships/hyperlink" Target="https://optovikufa.ru/product/241432/klemp-s-urovenem-prizhim-stabilizator-razmetka-dlya-stroboskoma-280gr-serebro/" TargetMode="External"/><Relationship Id="rId_hyperlink_1679" Type="http://schemas.openxmlformats.org/officeDocument/2006/relationships/hyperlink" Target="https://optovikufa.ru/product/242342/klemp-s-urovenem-prizhim-stabilizator-razmetka-dlya-stroboskoma-280gr-chernyy/" TargetMode="External"/><Relationship Id="rId_hyperlink_1680" Type="http://schemas.openxmlformats.org/officeDocument/2006/relationships/hyperlink" Target="https://optovikufa.ru/product/242363/shablon-dlya-nastroyki-tonarma/" TargetMode="External"/><Relationship Id="rId_hyperlink_1681" Type="http://schemas.openxmlformats.org/officeDocument/2006/relationships/hyperlink" Target="https://optovikufa.ru/product/242364/shell-zvukosnimatelya-s-komplektom-provodov-derzhatel-kartridzha-serebro/" TargetMode="External"/><Relationship Id="rId_hyperlink_1682" Type="http://schemas.openxmlformats.org/officeDocument/2006/relationships/hyperlink" Target="https://optovikufa.ru/product/242362/schetka-dlya-chistki-vinilovyh-plastinok-antistaticheskaya-karbon/" TargetMode="External"/><Relationship Id="rId_hyperlink_1683" Type="http://schemas.openxmlformats.org/officeDocument/2006/relationships/hyperlink" Target="https://optovikufa.ru/product/242361/schetki-dlya-chistki-vinilovyh-plastinok-velyur-komplekt-3sht/" TargetMode="External"/><Relationship Id="rId_hyperlink_1684" Type="http://schemas.openxmlformats.org/officeDocument/2006/relationships/hyperlink" Target="https://optovikufa.ru/product/242086/kabel-akusticheskiy-napravlennyy-med-ofc-999-shteker-banan-banan-pozolochenye-razemy-2m-komplekt-2sht/" TargetMode="External"/><Relationship Id="rId_hyperlink_1685" Type="http://schemas.openxmlformats.org/officeDocument/2006/relationships/hyperlink" Target="https://optovikufa.ru/product/243165/kabel-akusticheskiy-med-ofc-999-shteker-banan-banan-pozolochenye-razemy-15m-komplekt-2sht/" TargetMode="External"/><Relationship Id="rId_hyperlink_1686" Type="http://schemas.openxmlformats.org/officeDocument/2006/relationships/hyperlink" Target="https://optovikufa.ru/product/243164/kabel-mezhblochnyy-referensnyy-rca-rca-monokristallicheskaya-med-8nx-cangovye-razemy-05m/" TargetMode="External"/><Relationship Id="rId_hyperlink_1687" Type="http://schemas.openxmlformats.org/officeDocument/2006/relationships/hyperlink" Target="https://optovikufa.ru/product/242524/modul-upravleniya-strelochnymi-indikatorami-urovnya/" TargetMode="External"/><Relationship Id="rId_hyperlink_1688" Type="http://schemas.openxmlformats.org/officeDocument/2006/relationships/hyperlink" Target="https://optovikufa.ru/product/242525/strelochnyy-indikator-urovnya-dvoynoy-11554mm-vstroennyy-modul-upravleniya/" TargetMode="External"/><Relationship Id="rId_hyperlink_1689" Type="http://schemas.openxmlformats.org/officeDocument/2006/relationships/hyperlink" Target="https://optovikufa.ru/product/242526/strelochnyy-indikator-urovnya-dvoynoy-28-38v-p-78wtc-bgb-s0624-w/" TargetMode="External"/><Relationship Id="rId_hyperlink_1690" Type="http://schemas.openxmlformats.org/officeDocument/2006/relationships/hyperlink" Target="https://optovikufa.ru/product/242527/strelochnyy-indikator-urovnya-dvoynoy-30-32v-p-78wtc-bgb-s0338-b/" TargetMode="External"/><Relationship Id="rId_hyperlink_1691" Type="http://schemas.openxmlformats.org/officeDocument/2006/relationships/hyperlink" Target="https://optovikufa.ru/product/242529/strelochnyy-indikator-urovnya-28-33v-tn-105-s0518/" TargetMode="External"/><Relationship Id="rId_hyperlink_1692" Type="http://schemas.openxmlformats.org/officeDocument/2006/relationships/hyperlink" Target="https://optovikufa.ru/product/242528/strelochnyy-indikator-urovnya-28-38v-tn-90a-bgb-s0466/" TargetMode="External"/><Relationship Id="rId_hyperlink_1693" Type="http://schemas.openxmlformats.org/officeDocument/2006/relationships/hyperlink" Target="https://optovikufa.ru/product/242530/strelochnyy-indikator-urovnya-30-32v-137-h-94mm-p-134-bgb-s0561-w/" TargetMode="External"/><Relationship Id="rId_hyperlink_1694" Type="http://schemas.openxmlformats.org/officeDocument/2006/relationships/hyperlink" Target="https://optovikufa.ru/product/242531/strelochnyy-indikator-urovnya-8545mm-podsvetka-zheltoe-tablo-tn-90/" TargetMode="External"/><Relationship Id="rId_hyperlink_1695" Type="http://schemas.openxmlformats.org/officeDocument/2006/relationships/hyperlink" Target="https://optovikufa.ru/product/243059/podves-dlya-dinamikov-penopoliuretana-ppu-10-245180mm/" TargetMode="External"/><Relationship Id="rId_hyperlink_1696" Type="http://schemas.openxmlformats.org/officeDocument/2006/relationships/hyperlink" Target="https://optovikufa.ru/product/243060/podves-dlya-dinamikov-penopoliuretana-ppu-12-295220mm/" TargetMode="External"/><Relationship Id="rId_hyperlink_1697" Type="http://schemas.openxmlformats.org/officeDocument/2006/relationships/hyperlink" Target="https://optovikufa.ru/product/243055/podves-dlya-dinamikov-penopoliuretana-ppu-4-10065mm/" TargetMode="External"/><Relationship Id="rId_hyperlink_1698" Type="http://schemas.openxmlformats.org/officeDocument/2006/relationships/hyperlink" Target="https://optovikufa.ru/product/243056/podves-dlya-dinamikov-penopoliuretana-ppu-5-12585mm/" TargetMode="External"/><Relationship Id="rId_hyperlink_1699" Type="http://schemas.openxmlformats.org/officeDocument/2006/relationships/hyperlink" Target="https://optovikufa.ru/product/243057/podves-dlya-dinamikov-penopoliuretana-ppu-65-155105mm/" TargetMode="External"/><Relationship Id="rId_hyperlink_1700" Type="http://schemas.openxmlformats.org/officeDocument/2006/relationships/hyperlink" Target="https://optovikufa.ru/product/243058/podves-dlya-dinamikov-penopoliuretana-ppu-8-195135mm/" TargetMode="External"/><Relationship Id="rId_hyperlink_1701" Type="http://schemas.openxmlformats.org/officeDocument/2006/relationships/hyperlink" Target="https://optovikufa.ru/product/243071/tkan-dlya-remonta-akusticheskih-sistem-griley-kolonok-14-h-05-m-korichnevaya/" TargetMode="External"/><Relationship Id="rId_hyperlink_1702" Type="http://schemas.openxmlformats.org/officeDocument/2006/relationships/hyperlink" Target="https://optovikufa.ru/product/243070/tkan-dlya-remonta-akusticheskih-sistem-griley-kolonok-14-h-05-m-chernaya/" TargetMode="External"/><Relationship Id="rId_hyperlink_1703" Type="http://schemas.openxmlformats.org/officeDocument/2006/relationships/hyperlink" Target="https://optovikufa.ru/product/241437/gnezdo-setevoe-s14-silovoe-inlet-kreplenie-provoda-na-vint-pozolochennoe/" TargetMode="External"/><Relationship Id="rId_hyperlink_1704" Type="http://schemas.openxmlformats.org/officeDocument/2006/relationships/hyperlink" Target="https://optovikufa.ru/product/241436/gnezdo-setevoe-s14-silovoe-inlet-kreplenie-provoda-na-vint-rodievoe-pokrytie/" TargetMode="External"/><Relationship Id="rId_hyperlink_1705" Type="http://schemas.openxmlformats.org/officeDocument/2006/relationships/hyperlink" Target="https://optovikufa.ru/product/243161/kabel-pitaniya-silovoy-dlya-audio-apparatury-s15-075m/" TargetMode="External"/><Relationship Id="rId_hyperlink_1706" Type="http://schemas.openxmlformats.org/officeDocument/2006/relationships/hyperlink" Target="https://optovikufa.ru/product/243162/kabel-pitaniya-silovoy-dlya-audio-apparatury-s15-1m/" TargetMode="External"/><Relationship Id="rId_hyperlink_1707" Type="http://schemas.openxmlformats.org/officeDocument/2006/relationships/hyperlink" Target="https://optovikufa.ru/product/243160/kolodka-setevaya-gnezdo-pitaniya-standart-yaponiya-ssha-125v-20a/" TargetMode="External"/><Relationship Id="rId_hyperlink_1708" Type="http://schemas.openxmlformats.org/officeDocument/2006/relationships/hyperlink" Target="https://optovikufa.ru/product/241441/konnekter-pitaniya-silovoy-vilka-dlya-audio-apparatury-pozolochennyy-xangsane/" TargetMode="External"/><Relationship Id="rId_hyperlink_1709" Type="http://schemas.openxmlformats.org/officeDocument/2006/relationships/hyperlink" Target="https://optovikufa.ru/product/243156/konnekter-pitaniya-silovoy-razem-s15-dlya-audio-apparatury-pozolochennyy-xangsane/" TargetMode="External"/><Relationship Id="rId_hyperlink_1710" Type="http://schemas.openxmlformats.org/officeDocument/2006/relationships/hyperlink" Target="https://optovikufa.ru/product/243050/silovaya-vilka-pitaniya-dlya-audio-apparatury-p-079e/" TargetMode="External"/><Relationship Id="rId_hyperlink_1711" Type="http://schemas.openxmlformats.org/officeDocument/2006/relationships/hyperlink" Target="https://optovikufa.ru/product/243051/silovaya-razem-pitaniya-silovovoy-dlya-audio-apparatury-p-079/" TargetMode="External"/><Relationship Id="rId_hyperlink_1712" Type="http://schemas.openxmlformats.org/officeDocument/2006/relationships/hyperlink" Target="https://optovikufa.ru/product/243063/nozhka-dlya-audio-tehniki-306mm-zoloto-8/" TargetMode="External"/><Relationship Id="rId_hyperlink_1713" Type="http://schemas.openxmlformats.org/officeDocument/2006/relationships/hyperlink" Target="https://optovikufa.ru/product/243062/nozhka-dlya-audio-tehniki-306mm-serebro-8/" TargetMode="External"/><Relationship Id="rId_hyperlink_1714" Type="http://schemas.openxmlformats.org/officeDocument/2006/relationships/hyperlink" Target="https://optovikufa.ru/product/243061/nozhka-dlya-audio-tehniki-306mm-chernye-8/" TargetMode="External"/><Relationship Id="rId_hyperlink_1715" Type="http://schemas.openxmlformats.org/officeDocument/2006/relationships/hyperlink" Target="https://optovikufa.ru/product/243066/nozhka-dlya-audio-tehniki-408mm-zoloto-4/" TargetMode="External"/><Relationship Id="rId_hyperlink_1716" Type="http://schemas.openxmlformats.org/officeDocument/2006/relationships/hyperlink" Target="https://optovikufa.ru/product/243065/nozhka-dlya-audio-tehniki-408mm-serebro-4/" TargetMode="External"/><Relationship Id="rId_hyperlink_1717" Type="http://schemas.openxmlformats.org/officeDocument/2006/relationships/hyperlink" Target="https://optovikufa.ru/product/243064/nozhka-dlya-audio-tehniki-408mm-chernye-4/" TargetMode="External"/><Relationship Id="rId_hyperlink_1718" Type="http://schemas.openxmlformats.org/officeDocument/2006/relationships/hyperlink" Target="https://optovikufa.ru/product/243069/nozhka-dlya-audio-tehniki-4713mm-zoloto-8/" TargetMode="External"/><Relationship Id="rId_hyperlink_1719" Type="http://schemas.openxmlformats.org/officeDocument/2006/relationships/hyperlink" Target="https://optovikufa.ru/product/243068/nozhka-dlya-audio-tehniki-4713mm-serebro-8/" TargetMode="External"/><Relationship Id="rId_hyperlink_1720" Type="http://schemas.openxmlformats.org/officeDocument/2006/relationships/hyperlink" Target="https://optovikufa.ru/product/243067/nozhka-dlya-audio-tehniki-4713mm-chernye-8/" TargetMode="External"/><Relationship Id="rId_hyperlink_1721" Type="http://schemas.openxmlformats.org/officeDocument/2006/relationships/hyperlink" Target="https://optovikufa.ru/product/242343/nozhka-konus-diametr-gayki-18mm/" TargetMode="External"/><Relationship Id="rId_hyperlink_1722" Type="http://schemas.openxmlformats.org/officeDocument/2006/relationships/hyperlink" Target="https://optovikufa.ru/product/242167/nozhka-konus-diametr-gayki-27mm/" TargetMode="External"/><Relationship Id="rId_hyperlink_1723" Type="http://schemas.openxmlformats.org/officeDocument/2006/relationships/hyperlink" Target="https://optovikufa.ru/product/241439/nozhki-konusy-pod-apparaturu-vibrorazvyazka-komplekt-4sht-zoloto/" TargetMode="External"/><Relationship Id="rId_hyperlink_1724" Type="http://schemas.openxmlformats.org/officeDocument/2006/relationships/hyperlink" Target="https://optovikufa.ru/product/241440/nozhki-konusy-pod-apparaturu-vibrorazvyazka-komplekt-4sht-serebro/" TargetMode="External"/><Relationship Id="rId_hyperlink_1725" Type="http://schemas.openxmlformats.org/officeDocument/2006/relationships/hyperlink" Target="https://optovikufa.ru/product/241438/nozhki-konusy-pod-apparaturu-vibrorazvyazka-komplekt-4sht-chernyy/" TargetMode="External"/><Relationship Id="rId_hyperlink_1726" Type="http://schemas.openxmlformats.org/officeDocument/2006/relationships/hyperlink" Target="https://optovikufa.ru/product/242344/nozhki-konusy-pod-apparaturu-regulirovka-vysoty-zoloto-titan-4sht/" TargetMode="External"/><Relationship Id="rId_hyperlink_1727" Type="http://schemas.openxmlformats.org/officeDocument/2006/relationships/hyperlink" Target="https://optovikufa.ru/product/243040/shayba-podpyatnik-pod-konusy-vibrorazvyazki-diametr-25mm/" TargetMode="External"/><Relationship Id="rId_hyperlink_1728" Type="http://schemas.openxmlformats.org/officeDocument/2006/relationships/hyperlink" Target="https://optovikufa.ru/product/233233/aktivnaya-napolnaya-akustika-ot-spf32/" TargetMode="External"/><Relationship Id="rId_hyperlink_1729" Type="http://schemas.openxmlformats.org/officeDocument/2006/relationships/hyperlink" Target="https://optovikufa.ru/product/233864/aktivnaya-napolnaya-akustika-ot-spf33/" TargetMode="External"/><Relationship Id="rId_hyperlink_1730" Type="http://schemas.openxmlformats.org/officeDocument/2006/relationships/hyperlink" Target="https://optovikufa.ru/product/229872/aktivnaya-napolnaya-kolonka-07/" TargetMode="External"/><Relationship Id="rId_hyperlink_1731" Type="http://schemas.openxmlformats.org/officeDocument/2006/relationships/hyperlink" Target="https://optovikufa.ru/product/223060/akustika-jbk-0810-bluetooth/" TargetMode="External"/><Relationship Id="rId_hyperlink_1732" Type="http://schemas.openxmlformats.org/officeDocument/2006/relationships/hyperlink" Target="https://optovikufa.ru/product/239677/akusticheskaya-sistema-defender-supernova-60vt-bluetooth-light-aux-usb-eq-tws/" TargetMode="External"/><Relationship Id="rId_hyperlink_1733" Type="http://schemas.openxmlformats.org/officeDocument/2006/relationships/hyperlink" Target="https://optovikufa.ru/product/219381/akusticheskaya-sistema-dialog-oscar-ao-12-30w-rms-mikrofon-provodnoy-bluetooth-fmusbsd/" TargetMode="External"/><Relationship Id="rId_hyperlink_1734" Type="http://schemas.openxmlformats.org/officeDocument/2006/relationships/hyperlink" Target="https://optovikufa.ru/product/223872/akusticheskaya-sistema-dialog-oscar-ao-20-30w-rms-mikrofon-besprovodnoy-bluetooth-fmusbsd/" TargetMode="External"/><Relationship Id="rId_hyperlink_1735" Type="http://schemas.openxmlformats.org/officeDocument/2006/relationships/hyperlink" Target="https://optovikufa.ru/product/231910/akusticheskaya-sistema-dialog-oscar-ao-250-60w-rms-mikrofon-besprovodnoy-bluetooth-fmusbsd/" TargetMode="External"/><Relationship Id="rId_hyperlink_1736" Type="http://schemas.openxmlformats.org/officeDocument/2006/relationships/hyperlink" Target="https://optovikufa.ru/product/227898/akusticheskaya-sistema-dialog-progressive-ap-1030-truba-70w-rms-bluetooth-fmusbsd-led-displey/" TargetMode="External"/><Relationship Id="rId_hyperlink_1737" Type="http://schemas.openxmlformats.org/officeDocument/2006/relationships/hyperlink" Target="https://optovikufa.ru/product/238990/akusticheskaya-sistema-eltronic-20-46-crazy-box-150-bluetooth-fmusbsd/" TargetMode="External"/><Relationship Id="rId_hyperlink_1738" Type="http://schemas.openxmlformats.org/officeDocument/2006/relationships/hyperlink" Target="https://optovikufa.ru/product/229147/akusticheskaya-sistema-smartbuy-arisaka-20vt-sbs-570/" TargetMode="External"/><Relationship Id="rId_hyperlink_1739" Type="http://schemas.openxmlformats.org/officeDocument/2006/relationships/hyperlink" Target="https://optovikufa.ru/product/239448/akusticheskaya-sistema-smartbuy-flamer-60vt-sbs-5190/" TargetMode="External"/><Relationship Id="rId_hyperlink_1740" Type="http://schemas.openxmlformats.org/officeDocument/2006/relationships/hyperlink" Target="https://optovikufa.ru/product/229148/akusticheskaya-sistema-smartbuy-reaver-20vt-sbs-560/" TargetMode="External"/><Relationship Id="rId_hyperlink_1741" Type="http://schemas.openxmlformats.org/officeDocument/2006/relationships/hyperlink" Target="https://optovikufa.ru/product/235645/kolonka-portativnaya-defender-boomer-60-bluetooth-60vt-aux-usb-tf/" TargetMode="External"/><Relationship Id="rId_hyperlink_1742" Type="http://schemas.openxmlformats.org/officeDocument/2006/relationships/hyperlink" Target="https://optovikufa.ru/product/233931/kolonka-portativnaya-defender-g78-bluetooth-70vt-aux-usb-tf/" TargetMode="External"/><Relationship Id="rId_hyperlink_1743" Type="http://schemas.openxmlformats.org/officeDocument/2006/relationships/hyperlink" Target="https://optovikufa.ru/product/240510/kolonka-portativnaya-nakatomi-gs-30-30vt-fm-usb-reader/" TargetMode="External"/><Relationship Id="rId_hyperlink_1744" Type="http://schemas.openxmlformats.org/officeDocument/2006/relationships/hyperlink" Target="https://optovikufa.ru/product/234801/kolonka-portativnaya-nakatomi-gs-40-50vt-fm-usb-reader/" TargetMode="External"/><Relationship Id="rId_hyperlink_1745" Type="http://schemas.openxmlformats.org/officeDocument/2006/relationships/hyperlink" Target="https://optovikufa.ru/product/240511/kolonka-portativnaya-nakatomi-gs-43-60vt-fm-usb-reader/" TargetMode="External"/><Relationship Id="rId_hyperlink_1746" Type="http://schemas.openxmlformats.org/officeDocument/2006/relationships/hyperlink" Target="https://optovikufa.ru/product/230353/kolonka-portativnaya-smartbuy-z1-bluetooth-karaoke-sbs-970/" TargetMode="External"/><Relationship Id="rId_hyperlink_1747" Type="http://schemas.openxmlformats.org/officeDocument/2006/relationships/hyperlink" Target="https://optovikufa.ru/product/223049/kolonka-portativnaya-borofone-br1-bluetooth-aux-microsd-biryuzovyy/" TargetMode="External"/><Relationship Id="rId_hyperlink_1748" Type="http://schemas.openxmlformats.org/officeDocument/2006/relationships/hyperlink" Target="https://optovikufa.ru/product/221910/kolonka-portativnaya-borofone-br1-bluetooth-aux-microsd-krasnyy/" TargetMode="External"/><Relationship Id="rId_hyperlink_1749" Type="http://schemas.openxmlformats.org/officeDocument/2006/relationships/hyperlink" Target="https://optovikufa.ru/product/223050/kolonka-portativnaya-borofone-br1-bluetooth-aux-microsd-siniy/" TargetMode="External"/><Relationship Id="rId_hyperlink_1750" Type="http://schemas.openxmlformats.org/officeDocument/2006/relationships/hyperlink" Target="https://optovikufa.ru/product/223051/kolonka-portativnaya-borofone-br1-bluetooth-aux-microsd-chernyy/" TargetMode="External"/><Relationship Id="rId_hyperlink_1751" Type="http://schemas.openxmlformats.org/officeDocument/2006/relationships/hyperlink" Target="https://optovikufa.ru/product/234444/kolonka-portativnaya-borofone-br12-bluetooth-aux-microsd-zelenyy-kamuflyazh/" TargetMode="External"/><Relationship Id="rId_hyperlink_1752" Type="http://schemas.openxmlformats.org/officeDocument/2006/relationships/hyperlink" Target="https://optovikufa.ru/product/234661/kolonka-portativnaya-borofone-br12-bluetooth-aux-microsd-seryy/" TargetMode="External"/><Relationship Id="rId_hyperlink_1753" Type="http://schemas.openxmlformats.org/officeDocument/2006/relationships/hyperlink" Target="https://optovikufa.ru/product/234445/kolonka-portativnaya-borofone-br12-bluetooth-aux-microsd-siniy/" TargetMode="External"/><Relationship Id="rId_hyperlink_1754" Type="http://schemas.openxmlformats.org/officeDocument/2006/relationships/hyperlink" Target="https://optovikufa.ru/product/234662/kolonka-portativnaya-borofone-br12-bluetooth-aux-microsd-siniy-s-perelivom/" TargetMode="External"/><Relationship Id="rId_hyperlink_1755" Type="http://schemas.openxmlformats.org/officeDocument/2006/relationships/hyperlink" Target="https://optovikufa.ru/product/234446/kolonka-portativnaya-borofone-br12-bluetooth-aux-microsd-chernyy/" TargetMode="External"/><Relationship Id="rId_hyperlink_1756" Type="http://schemas.openxmlformats.org/officeDocument/2006/relationships/hyperlink" Target="https://optovikufa.ru/product/235091/kolonka-portativnaya-borofone-br13-bluetooth-aux-microsd-zelenyy-kamuflyazh/" TargetMode="External"/><Relationship Id="rId_hyperlink_1757" Type="http://schemas.openxmlformats.org/officeDocument/2006/relationships/hyperlink" Target="https://optovikufa.ru/product/238978/kolonka-portativnaya-borofone-br13-bluetooth-aux-microsd-krasnyy/" TargetMode="External"/><Relationship Id="rId_hyperlink_1758" Type="http://schemas.openxmlformats.org/officeDocument/2006/relationships/hyperlink" Target="https://optovikufa.ru/product/235092/kolonka-portativnaya-borofone-br13-bluetooth-aux-microsd-siniy/" TargetMode="External"/><Relationship Id="rId_hyperlink_1759" Type="http://schemas.openxmlformats.org/officeDocument/2006/relationships/hyperlink" Target="https://optovikufa.ru/product/235094/kolonka-portativnaya-borofone-br13-bluetooth-aux-microsd-chernyy/" TargetMode="External"/><Relationship Id="rId_hyperlink_1760" Type="http://schemas.openxmlformats.org/officeDocument/2006/relationships/hyperlink" Target="https://optovikufa.ru/product/234447/kolonka-portativnaya-borofone-br15-bluetooth-aux-microsd-krasnyy/" TargetMode="External"/><Relationship Id="rId_hyperlink_1761" Type="http://schemas.openxmlformats.org/officeDocument/2006/relationships/hyperlink" Target="https://optovikufa.ru/product/235099/kolonka-portativnaya-borofone-br21-bluetooth-aux-microsd-krasnyy/" TargetMode="External"/><Relationship Id="rId_hyperlink_1762" Type="http://schemas.openxmlformats.org/officeDocument/2006/relationships/hyperlink" Target="https://optovikufa.ru/product/235100/kolonka-portativnaya-borofone-br21-bluetooth-aux-microsd-rozovyy/" TargetMode="External"/><Relationship Id="rId_hyperlink_1763" Type="http://schemas.openxmlformats.org/officeDocument/2006/relationships/hyperlink" Target="https://optovikufa.ru/product/235101/kolonka-portativnaya-borofone-br21-bluetooth-aux-microsd-seryy/" TargetMode="External"/><Relationship Id="rId_hyperlink_1764" Type="http://schemas.openxmlformats.org/officeDocument/2006/relationships/hyperlink" Target="https://optovikufa.ru/product/235102/kolonka-portativnaya-borofone-br21-bluetooth-aux-microsd-siniy/" TargetMode="External"/><Relationship Id="rId_hyperlink_1765" Type="http://schemas.openxmlformats.org/officeDocument/2006/relationships/hyperlink" Target="https://optovikufa.ru/product/235103/kolonka-portativnaya-borofone-br21-bluetooth-aux-microsd-chernyy/" TargetMode="External"/><Relationship Id="rId_hyperlink_1766" Type="http://schemas.openxmlformats.org/officeDocument/2006/relationships/hyperlink" Target="https://optovikufa.ru/product/240801/kolonka-portativnaya-borofone-br26-bluetooth-aux-microsd-zelenyy/" TargetMode="External"/><Relationship Id="rId_hyperlink_1767" Type="http://schemas.openxmlformats.org/officeDocument/2006/relationships/hyperlink" Target="https://optovikufa.ru/product/237262/kolonka-portativnaya-borofone-br26-bluetooth-aux-microsd-seryy/" TargetMode="External"/><Relationship Id="rId_hyperlink_1768" Type="http://schemas.openxmlformats.org/officeDocument/2006/relationships/hyperlink" Target="https://optovikufa.ru/product/235469/kolonka-portativnaya-borofone-br3-bluetooth-aux-microsd-seryy/" TargetMode="External"/><Relationship Id="rId_hyperlink_1769" Type="http://schemas.openxmlformats.org/officeDocument/2006/relationships/hyperlink" Target="https://optovikufa.ru/product/234459/kolonka-portativnaya-borofone-br3-bluetooth-aux-microsd-siniy/" TargetMode="External"/><Relationship Id="rId_hyperlink_1770" Type="http://schemas.openxmlformats.org/officeDocument/2006/relationships/hyperlink" Target="https://optovikufa.ru/product/235472/kolonka-portativnaya-borofone-br3-bluetooth-aux-microsd-siniy-s-perelivom/" TargetMode="External"/><Relationship Id="rId_hyperlink_1771" Type="http://schemas.openxmlformats.org/officeDocument/2006/relationships/hyperlink" Target="https://optovikufa.ru/product/241877/kolonka-portativnaya-borofone-br36-bluetooth-aux-microsd-zelenyy/" TargetMode="External"/><Relationship Id="rId_hyperlink_1772" Type="http://schemas.openxmlformats.org/officeDocument/2006/relationships/hyperlink" Target="https://optovikufa.ru/product/241875/kolonka-portativnaya-borofone-br36-bluetooth-aux-microsd-krasnyy/" TargetMode="External"/><Relationship Id="rId_hyperlink_1773" Type="http://schemas.openxmlformats.org/officeDocument/2006/relationships/hyperlink" Target="https://optovikufa.ru/product/230052/kolonka-portativnaya-borofone-br4-bluetooth-aux-microsd-krasnyy/" TargetMode="External"/><Relationship Id="rId_hyperlink_1774" Type="http://schemas.openxmlformats.org/officeDocument/2006/relationships/hyperlink" Target="https://optovikufa.ru/product/230055/kolonka-portativnaya-borofone-br6-bluetooth-aux-microsd-krasnyy/" TargetMode="External"/><Relationship Id="rId_hyperlink_1775" Type="http://schemas.openxmlformats.org/officeDocument/2006/relationships/hyperlink" Target="https://optovikufa.ru/product/224276/kolonka-portativnaya-borofone-br6-bluetooth-aux-microsd-seryy/" TargetMode="External"/><Relationship Id="rId_hyperlink_1776" Type="http://schemas.openxmlformats.org/officeDocument/2006/relationships/hyperlink" Target="https://optovikufa.ru/product/236972/kolonka-portativnaya-bt366-bluetooth-aux-microsd-usb-rgb-podsvetka-zelenyy/" TargetMode="External"/><Relationship Id="rId_hyperlink_1777" Type="http://schemas.openxmlformats.org/officeDocument/2006/relationships/hyperlink" Target="https://optovikufa.ru/product/238645/kolonka-portativnaya-bt366-bluetooth-aux-microsd-usb-rgb-podsvetka-krasnyy/" TargetMode="External"/><Relationship Id="rId_hyperlink_1778" Type="http://schemas.openxmlformats.org/officeDocument/2006/relationships/hyperlink" Target="https://optovikufa.ru/product/240925/kolonka-portativnaya-bt366-bluetooth-aux-microsd-usb-rgb-podsvetka-serebro/" TargetMode="External"/><Relationship Id="rId_hyperlink_1779" Type="http://schemas.openxmlformats.org/officeDocument/2006/relationships/hyperlink" Target="https://optovikufa.ru/product/238088/kolonka-portativnaya-bt366-bluetooth-aux-microsd-usb-rgb-podsvetka-siniy/" TargetMode="External"/><Relationship Id="rId_hyperlink_1780" Type="http://schemas.openxmlformats.org/officeDocument/2006/relationships/hyperlink" Target="https://optovikufa.ru/product/240994/kolonka-portativnaya-bt366-bluetooth-aux-microsd-usb-rgb-podsvetka-chernyy/" TargetMode="External"/><Relationship Id="rId_hyperlink_1781" Type="http://schemas.openxmlformats.org/officeDocument/2006/relationships/hyperlink" Target="https://optovikufa.ru/product/219596/kolonka-portativnaya-defender-enjoy-s1000-s-bluetooth/" TargetMode="External"/><Relationship Id="rId_hyperlink_1782" Type="http://schemas.openxmlformats.org/officeDocument/2006/relationships/hyperlink" Target="https://optovikufa.ru/product/219597/kolonka-portativnaya-defender-enjoy-s700-s-bluetooth-chernaya/" TargetMode="External"/><Relationship Id="rId_hyperlink_1783" Type="http://schemas.openxmlformats.org/officeDocument/2006/relationships/hyperlink" Target="https://optovikufa.ru/product/224008/kolonka-portativnaya-defender-g24-bluetooth-10vt-aux-usb-tf/" TargetMode="External"/><Relationship Id="rId_hyperlink_1784" Type="http://schemas.openxmlformats.org/officeDocument/2006/relationships/hyperlink" Target="https://optovikufa.ru/product/158589/kolonka-portativnaya-dialog-progressive-ap-1000-truba-16w-rms-bluetooth-fmusb-reader/" TargetMode="External"/><Relationship Id="rId_hyperlink_1785" Type="http://schemas.openxmlformats.org/officeDocument/2006/relationships/hyperlink" Target="https://optovikufa.ru/product/236814/kolonka-portativnaya-dialog-progressive-ap-20-truba-25w-rms-bluetooth-fmusb-reader/" TargetMode="External"/><Relationship Id="rId_hyperlink_1786" Type="http://schemas.openxmlformats.org/officeDocument/2006/relationships/hyperlink" Target="https://optovikufa.ru/product/236813/kolonka-portativnaya-dialog-progressive-ap-30-truba-40w-rms-bluetooth-fmusb-reader/" TargetMode="External"/><Relationship Id="rId_hyperlink_1787" Type="http://schemas.openxmlformats.org/officeDocument/2006/relationships/hyperlink" Target="https://optovikufa.ru/product/241170/kolonka-portativnaya-hoco-bs40-bluetooth-aux-microsd-krasnyy/" TargetMode="External"/><Relationship Id="rId_hyperlink_1788" Type="http://schemas.openxmlformats.org/officeDocument/2006/relationships/hyperlink" Target="https://optovikufa.ru/product/241171/kolonka-portativnaya-hoco-hc10-bluetooth-aux-microsd-chernyy/" TargetMode="External"/><Relationship Id="rId_hyperlink_1789" Type="http://schemas.openxmlformats.org/officeDocument/2006/relationships/hyperlink" Target="https://optovikufa.ru/product/239398/kolonka-portativnaya-hoco-hc11-bluetooth-aux-microsd-krasnyy/" TargetMode="External"/><Relationship Id="rId_hyperlink_1790" Type="http://schemas.openxmlformats.org/officeDocument/2006/relationships/hyperlink" Target="https://optovikufa.ru/product/239399/kolonka-portativnaya-hoco-hc11-bluetooth-aux-microsd-siniy/" TargetMode="External"/><Relationship Id="rId_hyperlink_1791" Type="http://schemas.openxmlformats.org/officeDocument/2006/relationships/hyperlink" Target="https://optovikufa.ru/product/236995/kolonka-portativnaya-hoco-hc11-bluetooth-aux-microsd-temno-zelenyy/" TargetMode="External"/><Relationship Id="rId_hyperlink_1792" Type="http://schemas.openxmlformats.org/officeDocument/2006/relationships/hyperlink" Target="https://optovikufa.ru/product/236143/kolonka-portativnaya-hoco-hc12-bluetooth-aux-microsd-zelenyy/" TargetMode="External"/><Relationship Id="rId_hyperlink_1793" Type="http://schemas.openxmlformats.org/officeDocument/2006/relationships/hyperlink" Target="https://optovikufa.ru/product/236142/kolonka-portativnaya-hoco-hc12-bluetooth-aux-microsd-kamuflyazh/" TargetMode="External"/><Relationship Id="rId_hyperlink_1794" Type="http://schemas.openxmlformats.org/officeDocument/2006/relationships/hyperlink" Target="https://optovikufa.ru/product/236145/kolonka-portativnaya-hoco-hc12-bluetooth-aux-microsd-krasnyy/" TargetMode="External"/><Relationship Id="rId_hyperlink_1795" Type="http://schemas.openxmlformats.org/officeDocument/2006/relationships/hyperlink" Target="https://optovikufa.ru/product/236144/kolonka-portativnaya-hoco-hc12-bluetooth-aux-microsd-seryy/" TargetMode="External"/><Relationship Id="rId_hyperlink_1796" Type="http://schemas.openxmlformats.org/officeDocument/2006/relationships/hyperlink" Target="https://optovikufa.ru/product/236141/kolonka-portativnaya-hoco-hc12-bluetooth-aux-microsd-siniy/" TargetMode="External"/><Relationship Id="rId_hyperlink_1797" Type="http://schemas.openxmlformats.org/officeDocument/2006/relationships/hyperlink" Target="https://optovikufa.ru/product/240804/kolonka-portativnaya-hoco-hc16-bluetooth-aux-microsd-kamuflyazh/" TargetMode="External"/><Relationship Id="rId_hyperlink_1798" Type="http://schemas.openxmlformats.org/officeDocument/2006/relationships/hyperlink" Target="https://optovikufa.ru/product/240805/kolonka-portativnaya-hoco-hc16-bluetooth-aux-microsd-krasnyy/" TargetMode="External"/><Relationship Id="rId_hyperlink_1799" Type="http://schemas.openxmlformats.org/officeDocument/2006/relationships/hyperlink" Target="https://optovikufa.ru/product/240806/kolonka-portativnaya-hoco-hc16-bluetooth-aux-microsd-rozovyy/" TargetMode="External"/><Relationship Id="rId_hyperlink_1800" Type="http://schemas.openxmlformats.org/officeDocument/2006/relationships/hyperlink" Target="https://optovikufa.ru/product/234453/kolonka-portativnaya-hoco-hc2-bluetooth-aux-microsd-zelenyy-kamuflyazh/" TargetMode="External"/><Relationship Id="rId_hyperlink_1801" Type="http://schemas.openxmlformats.org/officeDocument/2006/relationships/hyperlink" Target="https://optovikufa.ru/product/234454/kolonka-portativnaya-hoco-hc2-bluetooth-aux-microsd-krasnyy/" TargetMode="External"/><Relationship Id="rId_hyperlink_1802" Type="http://schemas.openxmlformats.org/officeDocument/2006/relationships/hyperlink" Target="https://optovikufa.ru/product/236063/kolonka-portativnaya-hoco-hc4-bluetooth-aux-microsd-krasnyy/" TargetMode="External"/><Relationship Id="rId_hyperlink_1803" Type="http://schemas.openxmlformats.org/officeDocument/2006/relationships/hyperlink" Target="https://optovikufa.ru/product/239402/kolonka-portativnaya-hoco-hc4-bluetooth-aux-microsd-seryy/" TargetMode="External"/><Relationship Id="rId_hyperlink_1804" Type="http://schemas.openxmlformats.org/officeDocument/2006/relationships/hyperlink" Target="https://optovikufa.ru/product/236061/kolonka-portativnaya-hoco-hc4-bluetooth-aux-microsd-siniy/" TargetMode="External"/><Relationship Id="rId_hyperlink_1805" Type="http://schemas.openxmlformats.org/officeDocument/2006/relationships/hyperlink" Target="https://optovikufa.ru/product/239403/kolonka-portativnaya-hoco-hc4-bluetooth-aux-microsd-temno-siniy/" TargetMode="External"/><Relationship Id="rId_hyperlink_1806" Type="http://schemas.openxmlformats.org/officeDocument/2006/relationships/hyperlink" Target="https://optovikufa.ru/product/237708/kolonka-portativnaya-nakatomi-fs-30-18vt-rms-fm-usbled-reader-chernyy/" TargetMode="External"/><Relationship Id="rId_hyperlink_1807" Type="http://schemas.openxmlformats.org/officeDocument/2006/relationships/hyperlink" Target="https://optovikufa.ru/product/240402/kolonka-portativnaya-nr6019-bluetooth-aux-microsd-krasnyy/" TargetMode="External"/><Relationship Id="rId_hyperlink_1808" Type="http://schemas.openxmlformats.org/officeDocument/2006/relationships/hyperlink" Target="https://optovikufa.ru/product/240404/kolonka-portativnaya-nr6019-bluetooth-aux-microsd-seryy/" TargetMode="External"/><Relationship Id="rId_hyperlink_1809" Type="http://schemas.openxmlformats.org/officeDocument/2006/relationships/hyperlink" Target="https://optovikufa.ru/product/240403/kolonka-portativnaya-nr6019-bluetooth-aux-microsd-siniy/" TargetMode="External"/><Relationship Id="rId_hyperlink_1810" Type="http://schemas.openxmlformats.org/officeDocument/2006/relationships/hyperlink" Target="https://optovikufa.ru/product/240401/kolonka-portativnaya-nr6019-bluetooth-aux-microsd-chernyy/" TargetMode="External"/><Relationship Id="rId_hyperlink_1811" Type="http://schemas.openxmlformats.org/officeDocument/2006/relationships/hyperlink" Target="https://optovikufa.ru/product/240405/kolonka-portativnaya-nr6019m-mikrofon-bluetooth-aux-microsd-krasnyy/" TargetMode="External"/><Relationship Id="rId_hyperlink_1812" Type="http://schemas.openxmlformats.org/officeDocument/2006/relationships/hyperlink" Target="https://optovikufa.ru/product/132513/kolonka-portativnaya-smartbuy-tuber-bluetooth-mp3-pleer-fm-radio-chernaya-sbs-4100/" TargetMode="External"/><Relationship Id="rId_hyperlink_1813" Type="http://schemas.openxmlformats.org/officeDocument/2006/relationships/hyperlink" Target="https://optovikufa.ru/product/132510/kolonka-portativnaya-smartbuy-tuber-bluetooth-mp3-pleer-fm-radio-cherno-zheltyy-sbs-4200/" TargetMode="External"/><Relationship Id="rId_hyperlink_1814" Type="http://schemas.openxmlformats.org/officeDocument/2006/relationships/hyperlink" Target="https://optovikufa.ru/product/132514/kolonka-portativnaya-smartbuy-tuber-bluetooth-mp3-pleer-fm-radio-cherno-krasnaya-sbs-4300/" TargetMode="External"/><Relationship Id="rId_hyperlink_1815" Type="http://schemas.openxmlformats.org/officeDocument/2006/relationships/hyperlink" Target="https://optovikufa.ru/product/238711/kronshteyn-svch-006-konsol/" TargetMode="External"/><Relationship Id="rId_hyperlink_1816" Type="http://schemas.openxmlformats.org/officeDocument/2006/relationships/hyperlink" Target="https://optovikufa.ru/product/237353/kronshteyn-svch-konsol-trone-c-3-belyy/" TargetMode="External"/><Relationship Id="rId_hyperlink_1817" Type="http://schemas.openxmlformats.org/officeDocument/2006/relationships/hyperlink" Target="https://optovikufa.ru/product/237354/kronshteyn-svch-konsol-trone-c-3-seryy/" TargetMode="External"/><Relationship Id="rId_hyperlink_1818" Type="http://schemas.openxmlformats.org/officeDocument/2006/relationships/hyperlink" Target="https://optovikufa.ru/product/237352/kronshteyn-svch-konsol-trone-c-5-belyy/" TargetMode="External"/><Relationship Id="rId_hyperlink_1819" Type="http://schemas.openxmlformats.org/officeDocument/2006/relationships/hyperlink" Target="https://optovikufa.ru/product/237355/kronshteyn-svch-konsol-trone-c-5-seryy/" TargetMode="External"/><Relationship Id="rId_hyperlink_1820" Type="http://schemas.openxmlformats.org/officeDocument/2006/relationships/hyperlink" Target="https://optovikufa.ru/product/226352/kronshteyn-dlya-monitorov-26-55-66-140sm-vobix-vx5532b-naklonno-povorotnyy-do-35kg/" TargetMode="External"/><Relationship Id="rId_hyperlink_1821" Type="http://schemas.openxmlformats.org/officeDocument/2006/relationships/hyperlink" Target="https://optovikufa.ru/product/228577/kronshteyn-dlya-proektora-potolochnyy-nb718-4/" TargetMode="External"/><Relationship Id="rId_hyperlink_1822" Type="http://schemas.openxmlformats.org/officeDocument/2006/relationships/hyperlink" Target="https://optovikufa.ru/product/223931/kronshteyn-dlya-televizora-14-27-ot-hod07/" TargetMode="External"/><Relationship Id="rId_hyperlink_1823" Type="http://schemas.openxmlformats.org/officeDocument/2006/relationships/hyperlink" Target="https://optovikufa.ru/product/223933/kronshteyn-dlya-televizora-14-40-ot-hod09/" TargetMode="External"/><Relationship Id="rId_hyperlink_1824" Type="http://schemas.openxmlformats.org/officeDocument/2006/relationships/hyperlink" Target="https://optovikufa.ru/product/223934/kronshteyn-dlya-televizora-14-42-ot-hod10/" TargetMode="External"/><Relationship Id="rId_hyperlink_1825" Type="http://schemas.openxmlformats.org/officeDocument/2006/relationships/hyperlink" Target="https://optovikufa.ru/product/223936/kronshteyn-dlya-televizora-14-42-ot-hod12/" TargetMode="External"/><Relationship Id="rId_hyperlink_1826" Type="http://schemas.openxmlformats.org/officeDocument/2006/relationships/hyperlink" Target="https://optovikufa.ru/product/223932/kronshteyn-dlya-televizora-15-40-ot-hod08/" TargetMode="External"/><Relationship Id="rId_hyperlink_1827" Type="http://schemas.openxmlformats.org/officeDocument/2006/relationships/hyperlink" Target="https://optovikufa.ru/product/222159/kronshteyn-dlya-televizora-23-55-kaloc-x-1-povorotno-naklonnyy/" TargetMode="External"/><Relationship Id="rId_hyperlink_1828" Type="http://schemas.openxmlformats.org/officeDocument/2006/relationships/hyperlink" Target="https://optovikufa.ru/product/223937/kronshteyn-dlya-televizora-26-55-ot-hod13/" TargetMode="External"/><Relationship Id="rId_hyperlink_1829" Type="http://schemas.openxmlformats.org/officeDocument/2006/relationships/hyperlink" Target="https://optovikufa.ru/product/228292/kronshteyn-dlya-televizora-26-55-naklonnyy/" TargetMode="External"/><Relationship Id="rId_hyperlink_1830" Type="http://schemas.openxmlformats.org/officeDocument/2006/relationships/hyperlink" Target="https://optovikufa.ru/product/230677/kronshteyn-dlya-televizora-26-55-potolochnyy-naklonnyy-povorotnyy/" TargetMode="External"/><Relationship Id="rId_hyperlink_1831" Type="http://schemas.openxmlformats.org/officeDocument/2006/relationships/hyperlink" Target="https://optovikufa.ru/product/223935/kronshteyn-dlya-televizora-32-55-ot-hod11/" TargetMode="External"/><Relationship Id="rId_hyperlink_1832" Type="http://schemas.openxmlformats.org/officeDocument/2006/relationships/hyperlink" Target="https://optovikufa.ru/product/241946/kronshteyn-dlya-televizora-32-55-zerro-ns-p-400-povorotno-naklonnyy/" TargetMode="External"/><Relationship Id="rId_hyperlink_1833" Type="http://schemas.openxmlformats.org/officeDocument/2006/relationships/hyperlink" Target="https://optovikufa.ru/product/221306/kronshteyn-dlya-televizora-32-60-kaloc-x-4-povorotno-naklonnyy/" TargetMode="External"/><Relationship Id="rId_hyperlink_1834" Type="http://schemas.openxmlformats.org/officeDocument/2006/relationships/hyperlink" Target="https://optovikufa.ru/product/225333/kronshteyn-dlya-televizora-32-60-nb-p5/" TargetMode="External"/><Relationship Id="rId_hyperlink_1835" Type="http://schemas.openxmlformats.org/officeDocument/2006/relationships/hyperlink" Target="https://optovikufa.ru/product/177862/kronshteyn-dlya-televizora-nb-sp-200-nastennyy-povorotno-naklonnyy-chernyy/" TargetMode="External"/><Relationship Id="rId_hyperlink_1836" Type="http://schemas.openxmlformats.org/officeDocument/2006/relationships/hyperlink" Target="https://optovikufa.ru/product/134473/kronshteyn-dlya-televizora-ultramounts-um862-naklonno-povorotnyy-13-42-33-106sm-do-20kg/" TargetMode="External"/><Relationship Id="rId_hyperlink_1837" Type="http://schemas.openxmlformats.org/officeDocument/2006/relationships/hyperlink" Target="https://optovikufa.ru/product/134475/kronshteyn-dlya-televizora-ultramounts-um866-naklonno-povorotnyy-13-42-33-106sm-do-20kg/" TargetMode="External"/><Relationship Id="rId_hyperlink_1838" Type="http://schemas.openxmlformats.org/officeDocument/2006/relationships/hyperlink" Target="https://optovikufa.ru/product/160856/kronshteyn-dlya-televizora-ultramounts-um867-naklonno-povorotnyy-23-42-59-106sm-do-30kg/" TargetMode="External"/><Relationship Id="rId_hyperlink_1839" Type="http://schemas.openxmlformats.org/officeDocument/2006/relationships/hyperlink" Target="https://optovikufa.ru/product/135337/kronshteyn-dlya-televizora-ultramounts-um868-naklonno-povorotnyy-23-55-59-139sm-do-30kg/" TargetMode="External"/><Relationship Id="rId_hyperlink_1840" Type="http://schemas.openxmlformats.org/officeDocument/2006/relationships/hyperlink" Target="https://optovikufa.ru/product/226354/kronshteyn-dlya-televizora-ultramounts-um869-naklonno-povorotnyy-23-55-58-140sm-do-35kg/" TargetMode="External"/><Relationship Id="rId_hyperlink_1841" Type="http://schemas.openxmlformats.org/officeDocument/2006/relationships/hyperlink" Target="https://optovikufa.ru/product/221095/kronshteyn-dlya-televizora-ultramounts-um878-naklonno-povorotnyy-32-55-82-139sm-do-35kg/" TargetMode="External"/><Relationship Id="rId_hyperlink_1842" Type="http://schemas.openxmlformats.org/officeDocument/2006/relationships/hyperlink" Target="https://optovikufa.ru/product/230244/kronshteyn-dlya-televizora-ultramounts-um894-naklonno-povorotnyy-13-27-33-68sm-do-20kg/" TargetMode="External"/><Relationship Id="rId_hyperlink_1843" Type="http://schemas.openxmlformats.org/officeDocument/2006/relationships/hyperlink" Target="https://optovikufa.ru/product/230246/kronshteyn-dlya-televizora-ultramounts-um896-naklonno-povorotnyy-13-27-33-68sm-do-30kg/" TargetMode="External"/><Relationship Id="rId_hyperlink_1844" Type="http://schemas.openxmlformats.org/officeDocument/2006/relationships/hyperlink" Target="https://optovikufa.ru/product/230248/kronshteyn-dlya-televizora-ultramounts-um900-naklonno-povorotnyy-23-43-59-109sm-do-30kg/" TargetMode="External"/><Relationship Id="rId_hyperlink_1845" Type="http://schemas.openxmlformats.org/officeDocument/2006/relationships/hyperlink" Target="https://optovikufa.ru/product/230251/kronshteyn-dlya-televizora-ultramounts-um903-naklonno-povorotnyy-32-55-82-139sm-do-20kg/" TargetMode="External"/><Relationship Id="rId_hyperlink_1846" Type="http://schemas.openxmlformats.org/officeDocument/2006/relationships/hyperlink" Target="https://optovikufa.ru/product/230250/kronshteyn-dlya-televizora-ultramounts-um905-naklonno-povorotnyy-23-55-59-139sm-do-30kg/" TargetMode="External"/><Relationship Id="rId_hyperlink_1847" Type="http://schemas.openxmlformats.org/officeDocument/2006/relationships/hyperlink" Target="https://optovikufa.ru/product/230256/kronshteyn-dlya-televizora-ultramounts-um909-naklonno-povorotnyy-37-75-94-190sm-do-35kg/" TargetMode="External"/><Relationship Id="rId_hyperlink_1848" Type="http://schemas.openxmlformats.org/officeDocument/2006/relationships/hyperlink" Target="https://optovikufa.ru/product/241566/kronshteyn-dlya-televizora-naklonno-povorotnyy-energy-power-117v-14-42/" TargetMode="External"/><Relationship Id="rId_hyperlink_1849" Type="http://schemas.openxmlformats.org/officeDocument/2006/relationships/hyperlink" Target="https://optovikufa.ru/product/241944/kronshteyn-dlya-televizora-nastennyy-energy-power-14-42/" TargetMode="External"/><Relationship Id="rId_hyperlink_1850" Type="http://schemas.openxmlformats.org/officeDocument/2006/relationships/hyperlink" Target="https://optovikufa.ru/product/217192/kronshteyn-dlya-televizora-14-32-hy-108e-naklonnyy/" TargetMode="External"/><Relationship Id="rId_hyperlink_1851" Type="http://schemas.openxmlformats.org/officeDocument/2006/relationships/hyperlink" Target="https://optovikufa.ru/product/177866/kronshteyn-dlya-televizora-14-42-ot-hod01-nastennyy-chernyy/" TargetMode="External"/><Relationship Id="rId_hyperlink_1852" Type="http://schemas.openxmlformats.org/officeDocument/2006/relationships/hyperlink" Target="https://optovikufa.ru/product/223930/kronshteyn-dlya-televizora-14-42-ot-hod05/" TargetMode="External"/><Relationship Id="rId_hyperlink_1853" Type="http://schemas.openxmlformats.org/officeDocument/2006/relationships/hyperlink" Target="https://optovikufa.ru/product/233012/kronshteyn-dlya-televizora-15-42-live-power-ht-001-naklonnyy/" TargetMode="External"/><Relationship Id="rId_hyperlink_1854" Type="http://schemas.openxmlformats.org/officeDocument/2006/relationships/hyperlink" Target="https://optovikufa.ru/product/241951/kronshteyn-dlya-televizora-23-42-zerro-naklonnyy/" TargetMode="External"/><Relationship Id="rId_hyperlink_1855" Type="http://schemas.openxmlformats.org/officeDocument/2006/relationships/hyperlink" Target="https://optovikufa.ru/product/223939/kronshteyn-dlya-televizora-26-55-ot-hod15/" TargetMode="External"/><Relationship Id="rId_hyperlink_1856" Type="http://schemas.openxmlformats.org/officeDocument/2006/relationships/hyperlink" Target="https://optovikufa.ru/product/237829/kronshteyn-dlya-televizora-26-63-v63-naklonnyy/" TargetMode="External"/><Relationship Id="rId_hyperlink_1857" Type="http://schemas.openxmlformats.org/officeDocument/2006/relationships/hyperlink" Target="https://optovikufa.ru/product/223940/kronshteyn-dlya-televizora-26-65-ot-hod16/" TargetMode="External"/><Relationship Id="rId_hyperlink_1858" Type="http://schemas.openxmlformats.org/officeDocument/2006/relationships/hyperlink" Target="https://optovikufa.ru/product/223943/kronshteyn-dlya-televizora-26-65-ot-hod19/" TargetMode="External"/><Relationship Id="rId_hyperlink_1859" Type="http://schemas.openxmlformats.org/officeDocument/2006/relationships/hyperlink" Target="https://optovikufa.ru/product/233013/kronshteyn-dlya-televizora-32-55-live-power-ht-002-naklonnyy/" TargetMode="External"/><Relationship Id="rId_hyperlink_1860" Type="http://schemas.openxmlformats.org/officeDocument/2006/relationships/hyperlink" Target="https://optovikufa.ru/product/223929/kronshteyn-dlya-televizora-32-65-ot-hod04/" TargetMode="External"/><Relationship Id="rId_hyperlink_1861" Type="http://schemas.openxmlformats.org/officeDocument/2006/relationships/hyperlink" Target="https://optovikufa.ru/product/222161/kronshteyn-dlya-televizora-32-65-kaloc-e2-t-naklonnyy/" TargetMode="External"/><Relationship Id="rId_hyperlink_1862" Type="http://schemas.openxmlformats.org/officeDocument/2006/relationships/hyperlink" Target="https://optovikufa.ru/product/241945/kronshteyn-dlya-televizora-32-70-kaloc-x-5-naklonno-povorotnyy/" TargetMode="External"/><Relationship Id="rId_hyperlink_1863" Type="http://schemas.openxmlformats.org/officeDocument/2006/relationships/hyperlink" Target="https://optovikufa.ru/product/237831/kronshteyn-dlya-televizora-32-70-live-power-ht-003-naklonnyy/" TargetMode="External"/><Relationship Id="rId_hyperlink_1864" Type="http://schemas.openxmlformats.org/officeDocument/2006/relationships/hyperlink" Target="https://optovikufa.ru/product/223941/kronshteyn-dlya-televizora-32-71-ot-hod17/" TargetMode="External"/><Relationship Id="rId_hyperlink_1865" Type="http://schemas.openxmlformats.org/officeDocument/2006/relationships/hyperlink" Target="https://optovikufa.ru/product/223942/kronshteyn-dlya-televizora-42-80-ot-hod18/" TargetMode="External"/><Relationship Id="rId_hyperlink_1866" Type="http://schemas.openxmlformats.org/officeDocument/2006/relationships/hyperlink" Target="https://optovikufa.ru/product/231552/kronshteyn-dlya-televizora-55-85-nb-df-70t-nastennyy-naklonnyy-chernyy/" TargetMode="External"/><Relationship Id="rId_hyperlink_1867" Type="http://schemas.openxmlformats.org/officeDocument/2006/relationships/hyperlink" Target="https://optovikufa.ru/product/227766/kronshteyn-dlya-televizora-65-90-nb-df80-t/" TargetMode="External"/><Relationship Id="rId_hyperlink_1868" Type="http://schemas.openxmlformats.org/officeDocument/2006/relationships/hyperlink" Target="https://optovikufa.ru/product/229354/kronshteyn-dlya-televizora-nb-c1-t-naklonnyy-17-42/" TargetMode="External"/><Relationship Id="rId_hyperlink_1869" Type="http://schemas.openxmlformats.org/officeDocument/2006/relationships/hyperlink" Target="https://optovikufa.ru/product/221305/kronshteyn-dlya-televizora-nb-d2f-naklonnyy-32-55/" TargetMode="External"/><Relationship Id="rId_hyperlink_1870" Type="http://schemas.openxmlformats.org/officeDocument/2006/relationships/hyperlink" Target="https://optovikufa.ru/product/241950/kronshteyn-dlya-televizora-nbc1-f-naklonnyy-17-37/" TargetMode="External"/><Relationship Id="rId_hyperlink_1871" Type="http://schemas.openxmlformats.org/officeDocument/2006/relationships/hyperlink" Target="https://optovikufa.ru/product/220721/kronshteyn-dlya-televizora-nbc3-f-naklonnyy-40-65/" TargetMode="External"/><Relationship Id="rId_hyperlink_1872" Type="http://schemas.openxmlformats.org/officeDocument/2006/relationships/hyperlink" Target="https://optovikufa.ru/product/135338/kronshteyn-dlya-televizora-ultramounts-um830t-naklonnyy-13-27-33-68sm-do-25kg/" TargetMode="External"/><Relationship Id="rId_hyperlink_1873" Type="http://schemas.openxmlformats.org/officeDocument/2006/relationships/hyperlink" Target="https://optovikufa.ru/product/230257/kronshteyn-dlya-televizora-ultramounts-um840t-naklonnyy-43-90-109-229sm-do-70kg/" TargetMode="External"/><Relationship Id="rId_hyperlink_1874" Type="http://schemas.openxmlformats.org/officeDocument/2006/relationships/hyperlink" Target="https://optovikufa.ru/product/149240/kronshteyn-dlya-televizora-naklonnyy-26-55-ot-hod06/" TargetMode="External"/><Relationship Id="rId_hyperlink_1875" Type="http://schemas.openxmlformats.org/officeDocument/2006/relationships/hyperlink" Target="https://optovikufa.ru/product/229018/kronshteyn-nastolnyy-dlya-televizora-17-27-nb-f80/" TargetMode="External"/><Relationship Id="rId_hyperlink_1876" Type="http://schemas.openxmlformats.org/officeDocument/2006/relationships/hyperlink" Target="https://optovikufa.ru/product/241760/kronshteyn-nastolnyy-dlya-televizora-17-27-ot-hod22/" TargetMode="External"/><Relationship Id="rId_hyperlink_1877" Type="http://schemas.openxmlformats.org/officeDocument/2006/relationships/hyperlink" Target="https://optovikufa.ru/product/226092/kronshteyn-dlya-televizora-14-42-ep/" TargetMode="External"/><Relationship Id="rId_hyperlink_1878" Type="http://schemas.openxmlformats.org/officeDocument/2006/relationships/hyperlink" Target="https://optovikufa.ru/product/223938/kronshteyn-dlya-televizora-14-42-ot-hod14/" TargetMode="External"/><Relationship Id="rId_hyperlink_1879" Type="http://schemas.openxmlformats.org/officeDocument/2006/relationships/hyperlink" Target="https://optovikufa.ru/product/242479/kronshteyn-dlya-televizora-14-42-chernyy-h-27/" TargetMode="External"/><Relationship Id="rId_hyperlink_1880" Type="http://schemas.openxmlformats.org/officeDocument/2006/relationships/hyperlink" Target="https://optovikufa.ru/product/177865/kronshteyn-dlya-televizora-26-55-ot-hod02-fiksirovannyy-chernyy/" TargetMode="External"/><Relationship Id="rId_hyperlink_1881" Type="http://schemas.openxmlformats.org/officeDocument/2006/relationships/hyperlink" Target="https://optovikufa.ru/product/228472/kronshteyn-dlya-televizora-26-55-fiksirovannyy/" TargetMode="External"/><Relationship Id="rId_hyperlink_1882" Type="http://schemas.openxmlformats.org/officeDocument/2006/relationships/hyperlink" Target="https://optovikufa.ru/product/219022/kronshteyn-dlya-televizora-h-01-14-32-nastennyy/" TargetMode="External"/><Relationship Id="rId_hyperlink_1883" Type="http://schemas.openxmlformats.org/officeDocument/2006/relationships/hyperlink" Target="https://optovikufa.ru/product/219023/kronshteyn-dlya-televizora-h-02-32-42-nastennyy/" TargetMode="External"/><Relationship Id="rId_hyperlink_1884" Type="http://schemas.openxmlformats.org/officeDocument/2006/relationships/hyperlink" Target="https://optovikufa.ru/product/219024/kronshteyn-dlya-televizora-h-03-40-70-nastennyy/" TargetMode="External"/><Relationship Id="rId_hyperlink_1885" Type="http://schemas.openxmlformats.org/officeDocument/2006/relationships/hyperlink" Target="https://optovikufa.ru/product/221096/kronshteyn-dlya-televizora-ultramounts-um810f-fiksirovannyy-13-27-33-68sm-do-25kg/" TargetMode="External"/><Relationship Id="rId_hyperlink_1886" Type="http://schemas.openxmlformats.org/officeDocument/2006/relationships/hyperlink" Target="https://optovikufa.ru/product/241565/kronshteyn-dlya-televizora-fiksirovannyy-energy-power-26-63/" TargetMode="External"/><Relationship Id="rId_hyperlink_1887" Type="http://schemas.openxmlformats.org/officeDocument/2006/relationships/hyperlink" Target="https://optovikufa.ru/product/238714/kronshteyn-dlya-televizora-fiksirovannyy-energy-power-26-65/" TargetMode="External"/><Relationship Id="rId_hyperlink_1888" Type="http://schemas.openxmlformats.org/officeDocument/2006/relationships/hyperlink" Target="https://optovikufa.ru/product/240382/kronshteyn-dlya-televizora-fiksirovannyy-energy-power-32-80/" TargetMode="External"/><Relationship Id="rId_hyperlink_1889" Type="http://schemas.openxmlformats.org/officeDocument/2006/relationships/hyperlink" Target="https://optovikufa.ru/product/240390/kronshteyn-dlya-televizora-fiksirovannyy-energy-power-pl103-32-70/" TargetMode="External"/><Relationship Id="rId_hyperlink_1890" Type="http://schemas.openxmlformats.org/officeDocument/2006/relationships/hyperlink" Target="https://optovikufa.ru/product/236446/mikrofon-dlya-karaoke-c-besprovodnoy-kolonkoy-ot-erm04-bluetooth-microsd-usb-fioletovyy/" TargetMode="External"/><Relationship Id="rId_hyperlink_1891" Type="http://schemas.openxmlformats.org/officeDocument/2006/relationships/hyperlink" Target="https://optovikufa.ru/product/220182/mikrofon-dlya-karaoke-c-besprovodnoy-kolonkoy-ot-erm05-bluetooth-microsd-usb-zoloto/" TargetMode="External"/><Relationship Id="rId_hyperlink_1892" Type="http://schemas.openxmlformats.org/officeDocument/2006/relationships/hyperlink" Target="https://optovikufa.ru/product/232676/mikrofon-dlya-karaoke-c-besprovodnoy-kolonkoy-wster-ws-900-bluetooth-microsd-usb-krasnyy/" TargetMode="External"/><Relationship Id="rId_hyperlink_1893" Type="http://schemas.openxmlformats.org/officeDocument/2006/relationships/hyperlink" Target="https://optovikufa.ru/product/236532/mikrofon-dlya-karaoke-c-besprovodnoy-kolonkoy-ys-09-bluetooth-microsd-usb-zoloto/" TargetMode="External"/><Relationship Id="rId_hyperlink_1894" Type="http://schemas.openxmlformats.org/officeDocument/2006/relationships/hyperlink" Target="https://optovikufa.ru/product/236597/mikrofon-dlya-karaoke-c-besprovodnoy-kolonkoy-ys-09-bluetooth-microsd-usb-krasnyy/" TargetMode="External"/><Relationship Id="rId_hyperlink_1895" Type="http://schemas.openxmlformats.org/officeDocument/2006/relationships/hyperlink" Target="https://optovikufa.ru/product/236596/mikrofon-dlya-karaoke-c-besprovodnoy-kolonkoy-ys-09-bluetooth-microsd-usb-chernyy/" TargetMode="External"/><Relationship Id="rId_hyperlink_1896" Type="http://schemas.openxmlformats.org/officeDocument/2006/relationships/hyperlink" Target="https://optovikufa.ru/product/236595/mikrofon-dlya-karaoke-c-besprovodnoy-kolonkoy-ys-63-bluetooth-microsd-usb-zolotoy/" TargetMode="External"/><Relationship Id="rId_hyperlink_1897" Type="http://schemas.openxmlformats.org/officeDocument/2006/relationships/hyperlink" Target="https://optovikufa.ru/product/237984/mikrofon-dlya-karaoke-elmm-501-2-mikrofona-besprovodnoy/" TargetMode="External"/><Relationship Id="rId_hyperlink_1898" Type="http://schemas.openxmlformats.org/officeDocument/2006/relationships/hyperlink" Target="https://optovikufa.ru/product/237982/mikrofon-dlya-karaoke-nerazemnyy-provod-3m-shteker-63-elmm-1031/" TargetMode="External"/><Relationship Id="rId_hyperlink_1899" Type="http://schemas.openxmlformats.org/officeDocument/2006/relationships/hyperlink" Target="https://optovikufa.ru/product/237979/mikrofon-dlya-karaoke-razemnyy-provod-3m-shteker-63-elmm-01/" TargetMode="External"/><Relationship Id="rId_hyperlink_1900" Type="http://schemas.openxmlformats.org/officeDocument/2006/relationships/hyperlink" Target="https://optovikufa.ru/product/237980/mikrofon-dlya-karaoke-razemnyy-provod-3m-shteker-63-elmm-226/" TargetMode="External"/><Relationship Id="rId_hyperlink_1901" Type="http://schemas.openxmlformats.org/officeDocument/2006/relationships/hyperlink" Target="https://optovikufa.ru/product/148705/pult-universalnyy-dlya-dvd-hr-330e/" TargetMode="External"/><Relationship Id="rId_hyperlink_1902" Type="http://schemas.openxmlformats.org/officeDocument/2006/relationships/hyperlink" Target="https://optovikufa.ru/product/226665/pult-dlya-kondicionerov-universalnyy-dream-kt-e08-belyy/" TargetMode="External"/><Relationship Id="rId_hyperlink_1903" Type="http://schemas.openxmlformats.org/officeDocument/2006/relationships/hyperlink" Target="https://optovikufa.ru/product/243045/pult-dlya-kondicionerov-universalnyy-k-1303e-6000-v-1-clickpdu/" TargetMode="External"/><Relationship Id="rId_hyperlink_1904" Type="http://schemas.openxmlformats.org/officeDocument/2006/relationships/hyperlink" Target="https://optovikufa.ru/product/240675/vneshniy-infrokrasnyy-priemnik-dlya-resiverov-trikolor-lf-dx8/" TargetMode="External"/><Relationship Id="rId_hyperlink_1905" Type="http://schemas.openxmlformats.org/officeDocument/2006/relationships/hyperlink" Target="https://optovikufa.ru/product/226663/pult-dlya-pristavki-beeline-mxv3-dream-cisco-tatung-motorola/" TargetMode="External"/><Relationship Id="rId_hyperlink_1906" Type="http://schemas.openxmlformats.org/officeDocument/2006/relationships/hyperlink" Target="https://optovikufa.ru/product/238512/pult-dlya-pristavki-domru-hd-5000-kaon-hd5000-kabelnoe-tv/" TargetMode="External"/><Relationship Id="rId_hyperlink_1907" Type="http://schemas.openxmlformats.org/officeDocument/2006/relationships/hyperlink" Target="https://optovikufa.ru/product/239133/pult-dlya-pristavki-domruonlime-rm-e12-kabelnoe-tv/" TargetMode="External"/><Relationship Id="rId_hyperlink_1908" Type="http://schemas.openxmlformats.org/officeDocument/2006/relationships/hyperlink" Target="https://optovikufa.ru/product/160858/pult-dlya-pristavki-globo-e-rcu-015-telekarta-hd-x8-sat/" TargetMode="External"/><Relationship Id="rId_hyperlink_1909" Type="http://schemas.openxmlformats.org/officeDocument/2006/relationships/hyperlink" Target="https://optovikufa.ru/product/239135/pult-dlya-pristavki-redbox-atlant-telekom-minifokus-layf-ip-tv/" TargetMode="External"/><Relationship Id="rId_hyperlink_1910" Type="http://schemas.openxmlformats.org/officeDocument/2006/relationships/hyperlink" Target="https://optovikufa.ru/product/238541/pult-dlya-pristavki-sberbox-sbdv-00001-salyut-tvhyundaibbkvityazvityazstarwindsunwindhinovexdexpsberprestigiovektaoltoirbisblacktonbq/" TargetMode="External"/><Relationship Id="rId_hyperlink_1911" Type="http://schemas.openxmlformats.org/officeDocument/2006/relationships/hyperlink" Target="https://optovikufa.ru/product/238913/pult-dlya-pristavki-tvip-hob1831-huayu/" TargetMode="External"/><Relationship Id="rId_hyperlink_1912" Type="http://schemas.openxmlformats.org/officeDocument/2006/relationships/hyperlink" Target="https://optovikufa.ru/product/240118/pult-dlya-pristavki-mts-dn300-ds300a-dc300a-iptv-dream/" TargetMode="External"/><Relationship Id="rId_hyperlink_1913" Type="http://schemas.openxmlformats.org/officeDocument/2006/relationships/hyperlink" Target="https://optovikufa.ru/product/174216/pult-dlya-pristavki-mts-src-3107-rc-306c-05-s-upravlgolosom-iptv-huayu/" TargetMode="External"/><Relationship Id="rId_hyperlink_1914" Type="http://schemas.openxmlformats.org/officeDocument/2006/relationships/hyperlink" Target="https://optovikufa.ru/product/239986/pult-dlya-pristavki-rostelekom-mag-250-hd-iptv-huayu/" TargetMode="External"/><Relationship Id="rId_hyperlink_1915" Type="http://schemas.openxmlformats.org/officeDocument/2006/relationships/hyperlink" Target="https://optovikufa.ru/product/237487/pult-dlya-pristavki-rostelekom-mag-255-hd-iptv-huayu/" TargetMode="External"/><Relationship Id="rId_hyperlink_1916" Type="http://schemas.openxmlformats.org/officeDocument/2006/relationships/hyperlink" Target="https://optovikufa.ru/product/132974/pult-dlya-pristavki-rostelekom-sml-282-hd-base-urc177500-huayu/" TargetMode="External"/><Relationship Id="rId_hyperlink_1917" Type="http://schemas.openxmlformats.org/officeDocument/2006/relationships/hyperlink" Target="https://optovikufa.ru/product/238798/pult-dlya-pristavki-telekarta-chd-04ir-continent-sat-huayu/" TargetMode="External"/><Relationship Id="rId_hyperlink_1918" Type="http://schemas.openxmlformats.org/officeDocument/2006/relationships/hyperlink" Target="https://optovikufa.ru/product/238800/pult-dlya-pristavki-telekarta-evo-02-evo-sat-huayu/" TargetMode="External"/><Relationship Id="rId_hyperlink_1919" Type="http://schemas.openxmlformats.org/officeDocument/2006/relationships/hyperlink" Target="https://optovikufa.ru/product/238801/pult-dlya-pristavki-telekarta-evo-05-pvr-sat-huayu/" TargetMode="External"/><Relationship Id="rId_hyperlink_1920" Type="http://schemas.openxmlformats.org/officeDocument/2006/relationships/hyperlink" Target="https://optovikufa.ru/product/238796/pult-dlya-pristavki-telekarta-evo-1-energy-e1-openbox-x-800se-sat-huayu/" TargetMode="External"/><Relationship Id="rId_hyperlink_1921" Type="http://schemas.openxmlformats.org/officeDocument/2006/relationships/hyperlink" Target="https://optovikufa.ru/product/226805/pult-dlya-pristavki-trikolor-dts53-dts54/" TargetMode="External"/><Relationship Id="rId_hyperlink_1922" Type="http://schemas.openxmlformats.org/officeDocument/2006/relationships/hyperlink" Target="https://optovikufa.ru/product/130044/pult-dlya-pristavki-trikolor-gs8300m/" TargetMode="External"/><Relationship Id="rId_hyperlink_1923" Type="http://schemas.openxmlformats.org/officeDocument/2006/relationships/hyperlink" Target="https://optovikufa.ru/product/191097/pult-dlya-pristavki-trikolor-gs8300n/" TargetMode="External"/><Relationship Id="rId_hyperlink_1924" Type="http://schemas.openxmlformats.org/officeDocument/2006/relationships/hyperlink" Target="https://optovikufa.ru/product/233797/pult-dlya-pristavki-trikolor-gs8306-tv-c-vozmozhnostyu-upravleniya-tv-razlichnyh-brendov-huayu/" TargetMode="External"/><Relationship Id="rId_hyperlink_1925" Type="http://schemas.openxmlformats.org/officeDocument/2006/relationships/hyperlink" Target="https://optovikufa.ru/product/223612/pult-dlya-pristavki-trikolor-gs8306-tv-c-vozmozhnostyu-upravleniya-tv-razlichnyh-brendov-sat-chernyy-dream/" TargetMode="External"/><Relationship Id="rId_hyperlink_1926" Type="http://schemas.openxmlformats.org/officeDocument/2006/relationships/hyperlink" Target="https://optovikufa.ru/product/130045/pult-dlya-pristavki-trikolor-gs8306-s-knopkoy-kinozal-sat-huayu/" TargetMode="External"/><Relationship Id="rId_hyperlink_1927" Type="http://schemas.openxmlformats.org/officeDocument/2006/relationships/hyperlink" Target="https://optovikufa.ru/product/128223/pult-universalnyy-dlya-pristavok-sat-rm-3335-dlya-sputnikovogo-tv/" TargetMode="External"/><Relationship Id="rId_hyperlink_1928" Type="http://schemas.openxmlformats.org/officeDocument/2006/relationships/hyperlink" Target="https://optovikufa.ru/product/237461/pult-dlya-cifrovyh-pristavok-dvb-t2-barton-th-562/" TargetMode="External"/><Relationship Id="rId_hyperlink_1929" Type="http://schemas.openxmlformats.org/officeDocument/2006/relationships/hyperlink" Target="https://optovikufa.ru/product/237382/pult-dlya-cifrovyh-pristavok-dvb-t2-cadena-ht-1110-goldmaster-t-707hdhdi/" TargetMode="External"/><Relationship Id="rId_hyperlink_1930" Type="http://schemas.openxmlformats.org/officeDocument/2006/relationships/hyperlink" Target="https://optovikufa.ru/product/237383/pult-dlya-cifrovyh-pristavok-dvb-t2-cadena-rc1631ir-1811-var1-cdt-1652s-huayu/" TargetMode="External"/><Relationship Id="rId_hyperlink_1931" Type="http://schemas.openxmlformats.org/officeDocument/2006/relationships/hyperlink" Target="https://optovikufa.ru/product/239129/pult-dlya-cifrovyh-pristavok-dvb-t2-d-color-dc1201hd-dc910hddc921hd-huayu/" TargetMode="External"/><Relationship Id="rId_hyperlink_1932" Type="http://schemas.openxmlformats.org/officeDocument/2006/relationships/hyperlink" Target="https://optovikufa.ru/product/237462/pult-dlya-cifrovyh-pristavok-dvb-t2-d-color-dc711hd-selenga-kaskadmasterdexp-va2102hd-harpercadena-cdt-1711sbrc100ir-cdt-100/" TargetMode="External"/><Relationship Id="rId_hyperlink_1933" Type="http://schemas.openxmlformats.org/officeDocument/2006/relationships/hyperlink" Target="https://optovikufa.ru/product/239131/pult-dlya-cifrovyh-pristavok-dvb-t2-hyundai-h-dvb03t2-dvb-t2-d-colordc921hdwv-t37supra-sdt-95rolsendigilineghb-898eplutusmystery-mmp-70dt2/" TargetMode="External"/><Relationship Id="rId_hyperlink_1934" Type="http://schemas.openxmlformats.org/officeDocument/2006/relationships/hyperlink" Target="https://optovikufa.ru/product/237485/pult-dlya-cifrovyh-pristavok-dvb-t2-lumax-dv-2118hd-dv-3201hd-telefunken-tf-dvbt221-divisat-unitgx-huayu/" TargetMode="External"/><Relationship Id="rId_hyperlink_1935" Type="http://schemas.openxmlformats.org/officeDocument/2006/relationships/hyperlink" Target="https://optovikufa.ru/product/239132/pult-dlya-cifrovyh-pristavok-dvb-t2-oriel-6-dlya-oriel-312-dvb-t2/" TargetMode="External"/><Relationship Id="rId_hyperlink_1936" Type="http://schemas.openxmlformats.org/officeDocument/2006/relationships/hyperlink" Target="https://optovikufa.ru/product/239134/pult-dlya-cifrovyh-pristavok-dvb-t2-rexant-rx-511-cadena-ht-1110cdt-1791harper-hdt2-1110-godigital-1306dofflerreflectbarton-ta-561-huayu/" TargetMode="External"/><Relationship Id="rId_hyperlink_1937" Type="http://schemas.openxmlformats.org/officeDocument/2006/relationships/hyperlink" Target="https://optovikufa.ru/product/239137/pult-dlya-cifrovyh-pristavok-dvb-t2-world-vision-t62mt61mt62dt64de64mt70selenga-t42ddexp-hd3552m-huayu/" TargetMode="External"/><Relationship Id="rId_hyperlink_1938" Type="http://schemas.openxmlformats.org/officeDocument/2006/relationships/hyperlink" Target="https://optovikufa.ru/product/239987/pult-dlya-cifrovyh-pristavok-i-ip-tv-universalnyy-dvb-t23-ver2023-g-zamenyaet-99-pultov-huayu/" TargetMode="External"/><Relationship Id="rId_hyperlink_1939" Type="http://schemas.openxmlformats.org/officeDocument/2006/relationships/hyperlink" Target="https://optovikufa.ru/product/222853/pult-dlya-cifrovyh-pristavok-universalnyy-dvb-t2/" TargetMode="External"/><Relationship Id="rId_hyperlink_1940" Type="http://schemas.openxmlformats.org/officeDocument/2006/relationships/hyperlink" Target="https://optovikufa.ru/product/237483/pult-dlya-cifrovyh-pristavok-universalnyy-dvb-t22-ver2023-g-huayu/" TargetMode="External"/><Relationship Id="rId_hyperlink_1941" Type="http://schemas.openxmlformats.org/officeDocument/2006/relationships/hyperlink" Target="https://optovikufa.ru/product/222852/pult-dlya-cifrovyh-pristavok-universalnyy-dvb-t2tv/" TargetMode="External"/><Relationship Id="rId_hyperlink_1942" Type="http://schemas.openxmlformats.org/officeDocument/2006/relationships/hyperlink" Target="https://optovikufa.ru/product/239988/pult-dlya-cifrovyh-pristavok-universalnyy-dvb-t2tv-ver2023-huayu/" TargetMode="External"/><Relationship Id="rId_hyperlink_1943" Type="http://schemas.openxmlformats.org/officeDocument/2006/relationships/hyperlink" Target="https://optovikufa.ru/product/221307/pult-dlya-cifrovyh-pristavok-universalnyy-rc-rm-11555/" TargetMode="External"/><Relationship Id="rId_hyperlink_1944" Type="http://schemas.openxmlformats.org/officeDocument/2006/relationships/hyperlink" Target="https://optovikufa.ru/product/228741/pult-dlya-cifrovyh-pristavok-universalnyy-rm-u1911-dream/" TargetMode="External"/><Relationship Id="rId_hyperlink_1945" Type="http://schemas.openxmlformats.org/officeDocument/2006/relationships/hyperlink" Target="https://optovikufa.ru/product/226895/pult-dlya-cifrovyh-pristavok-universalnyy-sparrow/" TargetMode="External"/><Relationship Id="rId_hyperlink_1946" Type="http://schemas.openxmlformats.org/officeDocument/2006/relationships/hyperlink" Target="https://optovikufa.ru/product/226894/pult-dlya-cifrovyh-pristavok-universalnyy-svec-a8/" TargetMode="External"/><Relationship Id="rId_hyperlink_1947" Type="http://schemas.openxmlformats.org/officeDocument/2006/relationships/hyperlink" Target="https://optovikufa.ru/product/239130/pult-du-d-color-dc1201hd-dc910hddc921hd-dvb-t2/" TargetMode="External"/><Relationship Id="rId_hyperlink_1948" Type="http://schemas.openxmlformats.org/officeDocument/2006/relationships/hyperlink" Target="https://optovikufa.ru/product/233020/pult-universalnyy-dlya-resiverov-dvb-t23-ver2022/" TargetMode="External"/><Relationship Id="rId_hyperlink_1949" Type="http://schemas.openxmlformats.org/officeDocument/2006/relationships/hyperlink" Target="https://optovikufa.ru/product/243042/pult-programmiruemyy-delly-changer-usb3-4v1/" TargetMode="External"/><Relationship Id="rId_hyperlink_1950" Type="http://schemas.openxmlformats.org/officeDocument/2006/relationships/hyperlink" Target="https://optovikufa.ru/product/243043/pult-programmiruemyy-delly-changer-usb3-dvd/" TargetMode="External"/><Relationship Id="rId_hyperlink_1951" Type="http://schemas.openxmlformats.org/officeDocument/2006/relationships/hyperlink" Target="https://optovikufa.ru/product/243044/pult-programmiruemyy-delly-changer-usb3-tv/" TargetMode="External"/><Relationship Id="rId_hyperlink_1952" Type="http://schemas.openxmlformats.org/officeDocument/2006/relationships/hyperlink" Target="https://optovikufa.ru/product/238719/pult-dlya-proektorov-universalnyy-rm-p1375-huayu/" TargetMode="External"/><Relationship Id="rId_hyperlink_1953" Type="http://schemas.openxmlformats.org/officeDocument/2006/relationships/hyperlink" Target="https://optovikufa.ru/product/226806/pult-dlya-televizora-universalnyy-rm-l109812-lcdled3d-programmiruemyy-huayu/" TargetMode="External"/><Relationship Id="rId_hyperlink_1954" Type="http://schemas.openxmlformats.org/officeDocument/2006/relationships/hyperlink" Target="https://optovikufa.ru/product/242101/pult-dlya-televizora-universalnyy-rm-l1120x-plus-youtube-ivi-programmiruemyy-huayu/" TargetMode="External"/><Relationship Id="rId_hyperlink_1955" Type="http://schemas.openxmlformats.org/officeDocument/2006/relationships/hyperlink" Target="https://optovikufa.ru/product/239168/pult-dlya-televizora-universalnyy-rm-l1130x-lcdled3d-programmiruemyy-huayu/" TargetMode="External"/><Relationship Id="rId_hyperlink_1956" Type="http://schemas.openxmlformats.org/officeDocument/2006/relationships/hyperlink" Target="https://optovikufa.ru/product/239156/pult-dlya-televizora-universalnyy-rm-l1195x-plus-ver2023-lcdled3d-programmiruemyy-huayu/" TargetMode="External"/><Relationship Id="rId_hyperlink_1957" Type="http://schemas.openxmlformats.org/officeDocument/2006/relationships/hyperlink" Target="https://optovikufa.ru/product/240208/pult-dlya-televizora-universalnyy-rm-l1376m-dlya-bolshinstva-tv-staryh-i-novyh-modeley/" TargetMode="External"/><Relationship Id="rId_hyperlink_1958" Type="http://schemas.openxmlformats.org/officeDocument/2006/relationships/hyperlink" Target="https://optovikufa.ru/product/177463/pult-du-rc-rm-36es-programmiruemyy/" TargetMode="External"/><Relationship Id="rId_hyperlink_1959" Type="http://schemas.openxmlformats.org/officeDocument/2006/relationships/hyperlink" Target="https://optovikufa.ru/product/238513/pult-dlya-televizora-akai-2200-edr0akai-2200edroakaisamtron-chernyy-tv-huayu/" TargetMode="External"/><Relationship Id="rId_hyperlink_1960" Type="http://schemas.openxmlformats.org/officeDocument/2006/relationships/hyperlink" Target="https://optovikufa.ru/product/239139/pult-dlya-televizora-akai-cx-507-hyundai-h-led19v13-helixdnspolartelefunkenmysteryhyundai-huayu/" TargetMode="External"/><Relationship Id="rId_hyperlink_1961" Type="http://schemas.openxmlformats.org/officeDocument/2006/relationships/hyperlink" Target="https://optovikufa.ru/product/237489/pult-dlya-televizora-akai-universalnyy-rm-l1602-clickpdu/" TargetMode="External"/><Relationship Id="rId_hyperlink_1962" Type="http://schemas.openxmlformats.org/officeDocument/2006/relationships/hyperlink" Target="https://optovikufa.ru/product/238514/pult-dlya-televizora-akira-rs41-dcg-32lec05t2s-akai-amcvfusionorionsupramysterydexploviewnovex-huayu/" TargetMode="External"/><Relationship Id="rId_hyperlink_1963" Type="http://schemas.openxmlformats.org/officeDocument/2006/relationships/hyperlink" Target="https://optovikufa.ru/product/240117/pult-dlya-televizora-akira-rs41-dcg-akai-amcvfusionorionsupramysterydexploviewnovex-dream/" TargetMode="External"/><Relationship Id="rId_hyperlink_1964" Type="http://schemas.openxmlformats.org/officeDocument/2006/relationships/hyperlink" Target="https://optovikufa.ru/product/241891/pult-dlya-televizora-erisson-rs41c0-shivakiakirafusionsupravityazvektasuzukiorfey-dream-tehpak/" TargetMode="External"/><Relationship Id="rId_hyperlink_1965" Type="http://schemas.openxmlformats.org/officeDocument/2006/relationships/hyperlink" Target="https://optovikufa.ru/product/241921/pult-dlya-televizora-erisson-rs41c0-timeshiftakiradexpfusionoriontelefunkendigmadoflerharperecon-huayu/" TargetMode="External"/><Relationship Id="rId_hyperlink_1966" Type="http://schemas.openxmlformats.org/officeDocument/2006/relationships/hyperlink" Target="https://optovikufa.ru/product/239141/pult-dlya-televizora-hyundai-ydx-107-h-led49f502bs2s-supradexpecon-lcd-smart-tv/" TargetMode="External"/><Relationship Id="rId_hyperlink_1967" Type="http://schemas.openxmlformats.org/officeDocument/2006/relationships/hyperlink" Target="https://optovikufa.ru/product/129338/pult-dlya-televizora-bbk-universalnyy-rm-d1177-live-power/" TargetMode="External"/><Relationship Id="rId_hyperlink_1968" Type="http://schemas.openxmlformats.org/officeDocument/2006/relationships/hyperlink" Target="https://optovikufa.ru/product/238489/pult-dlya-televizora-bbk-universalnyy-rm-d1177-vklyuchaet-vse-universalnye-pulty-bbk-huayu/" TargetMode="External"/><Relationship Id="rId_hyperlink_1969" Type="http://schemas.openxmlformats.org/officeDocument/2006/relationships/hyperlink" Target="https://optovikufa.ru/product/238488/pult-dlya-televizora-mystery-19secap-mtv-4228lta-var2/" TargetMode="External"/><Relationship Id="rId_hyperlink_1970" Type="http://schemas.openxmlformats.org/officeDocument/2006/relationships/hyperlink" Target="https://optovikufa.ru/product/232778/pult-dlya-televizora-mystery-mtv-2622lw-huayu/" TargetMode="External"/><Relationship Id="rId_hyperlink_1971" Type="http://schemas.openxmlformats.org/officeDocument/2006/relationships/hyperlink" Target="https://optovikufa.ru/product/232779/pult-dlya-televizora-mystery-mtv-3224lt2-rectelefunken-tf-led32s37t2-huayu/" TargetMode="External"/><Relationship Id="rId_hyperlink_1972" Type="http://schemas.openxmlformats.org/officeDocument/2006/relationships/hyperlink" Target="https://optovikufa.ru/product/237492/pult-dlya-televizora-mystery-universalnyy-mtv-2622lw-korpus-kt1045-dlya-vseh-tv-mystery-clickpdu/" TargetMode="External"/><Relationship Id="rId_hyperlink_1973" Type="http://schemas.openxmlformats.org/officeDocument/2006/relationships/hyperlink" Target="https://optovikufa.ru/product/136700/pult-dlya-televizora-daewoo-universalnyy-rm-3317/" TargetMode="External"/><Relationship Id="rId_hyperlink_1974" Type="http://schemas.openxmlformats.org/officeDocument/2006/relationships/hyperlink" Target="https://optovikufa.ru/product/142291/pult-dlya-televizora-daewoo-universalnyy-rm-515d/" TargetMode="External"/><Relationship Id="rId_hyperlink_1975" Type="http://schemas.openxmlformats.org/officeDocument/2006/relationships/hyperlink" Target="https://optovikufa.ru/product/241892/pult-dlya-televizora-dexp-16a3000-cx509-dtv-s-funkciey-rec-dream/" TargetMode="External"/><Relationship Id="rId_hyperlink_1976" Type="http://schemas.openxmlformats.org/officeDocument/2006/relationships/hyperlink" Target="https://optovikufa.ru/product/230622/pult-dlya-televizora-dexp-16a3000-cx509-dtv-s-funkciey-rec-huayu/" TargetMode="External"/><Relationship Id="rId_hyperlink_1977" Type="http://schemas.openxmlformats.org/officeDocument/2006/relationships/hyperlink" Target="https://optovikufa.ru/product/239140/pult-dlya-televizora-dexp-34018478b-lcd-smart-tv/" TargetMode="External"/><Relationship Id="rId_hyperlink_1978" Type="http://schemas.openxmlformats.org/officeDocument/2006/relationships/hyperlink" Target="https://optovikufa.ru/product/238538/pult-dlya-televizora-dexp-an-1603-an1603-s-golosovym-uprhi-novexvityazvityashyundaileffstarwind-lcd-tv-huayu/" TargetMode="External"/><Relationship Id="rId_hyperlink_1979" Type="http://schemas.openxmlformats.org/officeDocument/2006/relationships/hyperlink" Target="https://optovikufa.ru/product/232777/pult-dlya-televizora-dexp-en2b27d-lcd-smart-tv-huayu/" TargetMode="External"/><Relationship Id="rId_hyperlink_1980" Type="http://schemas.openxmlformats.org/officeDocument/2006/relationships/hyperlink" Target="https://optovikufa.ru/product/230623/pult-dlya-televizora-dexp-er-22601a-hisense-supra-doffler-huayu/" TargetMode="External"/><Relationship Id="rId_hyperlink_1981" Type="http://schemas.openxmlformats.org/officeDocument/2006/relationships/hyperlink" Target="https://optovikufa.ru/product/238516/pult-dlya-televizora-dexp-jkt-106b-2gcbltv70a-c35d7-rcorionsupraharperfusiongoldstarhyundayecon/" TargetMode="External"/><Relationship Id="rId_hyperlink_1982" Type="http://schemas.openxmlformats.org/officeDocument/2006/relationships/hyperlink" Target="https://optovikufa.ru/product/239989/pult-dlya-televizora-dexp-ver10-h32d7300k-lcd-tv-huayu/" TargetMode="External"/><Relationship Id="rId_hyperlink_1983" Type="http://schemas.openxmlformats.org/officeDocument/2006/relationships/hyperlink" Target="https://optovikufa.ru/product/238537/pult-dlya-televizora-dexp-voice-rc18-s-upravlgolosom-hyundaihaiernovexhitelefunkenyunoleffamcvecon-smart-tv/" TargetMode="External"/><Relationship Id="rId_hyperlink_1984" Type="http://schemas.openxmlformats.org/officeDocument/2006/relationships/hyperlink" Target="https://optovikufa.ru/product/237504/pult-dlya-televizora-dexp-universalnyy-dns-hisense-rolsen-rm-l1365-huayu/" TargetMode="External"/><Relationship Id="rId_hyperlink_1985" Type="http://schemas.openxmlformats.org/officeDocument/2006/relationships/hyperlink" Target="https://optovikufa.ru/product/238525/pult-dlya-televizora-dexp-universalnyy-dnsdofler-rm-l1325-lcd-clickpdu/" TargetMode="External"/><Relationship Id="rId_hyperlink_1986" Type="http://schemas.openxmlformats.org/officeDocument/2006/relationships/hyperlink" Target="https://optovikufa.ru/product/237385/pult-dlya-televizora-doffler-en2b27df-lcd-tv-netflix-youtube-en2b27d/" TargetMode="External"/><Relationship Id="rId_hyperlink_1987" Type="http://schemas.openxmlformats.org/officeDocument/2006/relationships/hyperlink" Target="https://optovikufa.ru/product/233304/pult-dlya-televizora-haier-htr-a10-lcd-youtube/" TargetMode="External"/><Relationship Id="rId_hyperlink_1988" Type="http://schemas.openxmlformats.org/officeDocument/2006/relationships/hyperlink" Target="https://optovikufa.ru/product/239147/pult-dlya-televizora-haier-universalnyy-rm-l1535-huayu/" TargetMode="External"/><Relationship Id="rId_hyperlink_1989" Type="http://schemas.openxmlformats.org/officeDocument/2006/relationships/hyperlink" Target="https://optovikufa.ru/product/240209/pult-dlya-televizora-haier-universalnyy-rm-l1657-korpus-htr-a27-huayu/" TargetMode="External"/><Relationship Id="rId_hyperlink_1990" Type="http://schemas.openxmlformats.org/officeDocument/2006/relationships/hyperlink" Target="https://optovikufa.ru/product/231715/pult-dlya-televizora-hisense-en2bb27hen2b27d-youtube-dexpdoffler-lcd-smart-tv-huayu/" TargetMode="External"/><Relationship Id="rId_hyperlink_1991" Type="http://schemas.openxmlformats.org/officeDocument/2006/relationships/hyperlink" Target="https://optovikufa.ru/product/222084/pult-dlya-televizora-hisense-en2f30hen2f30den2aj30h-dofflerdexp-lcd-smart-tv-huayu/" TargetMode="External"/><Relationship Id="rId_hyperlink_1992" Type="http://schemas.openxmlformats.org/officeDocument/2006/relationships/hyperlink" Target="https://optovikufa.ru/product/238718/pult-dlya-televizora-hisense-er-22655hs-huayu/" TargetMode="External"/><Relationship Id="rId_hyperlink_1993" Type="http://schemas.openxmlformats.org/officeDocument/2006/relationships/hyperlink" Target="https://optovikufa.ru/product/148706/pult-dlya-televizora-hitachi-universalnyy-rm-300b/" TargetMode="External"/><Relationship Id="rId_hyperlink_1994" Type="http://schemas.openxmlformats.org/officeDocument/2006/relationships/hyperlink" Target="https://optovikufa.ru/product/169129/pult-dlya-televizora-jvc-kt1157-sx-doffler-lcd-huayu/" TargetMode="External"/><Relationship Id="rId_hyperlink_1995" Type="http://schemas.openxmlformats.org/officeDocument/2006/relationships/hyperlink" Target="https://optovikufa.ru/product/173012/pult-dlya-televizora-jvc-universalnyy-rm-1011r-huayu/" TargetMode="External"/><Relationship Id="rId_hyperlink_1996" Type="http://schemas.openxmlformats.org/officeDocument/2006/relationships/hyperlink" Target="https://optovikufa.ru/product/238570/pult-dlya-televizora-jvc-universalnyy-rm-l1552-huayu/" TargetMode="External"/><Relationship Id="rId_hyperlink_1997" Type="http://schemas.openxmlformats.org/officeDocument/2006/relationships/hyperlink" Target="https://optovikufa.ru/product/169122/pult-dlya-televizora-goldstar-rc-200hyundai-rc-2000c-huayu/" TargetMode="External"/><Relationship Id="rId_hyperlink_1998" Type="http://schemas.openxmlformats.org/officeDocument/2006/relationships/hyperlink" Target="https://optovikufa.ru/product/173618/pult-dlya-televizora-lg-akb69680403/" TargetMode="External"/><Relationship Id="rId_hyperlink_1999" Type="http://schemas.openxmlformats.org/officeDocument/2006/relationships/hyperlink" Target="https://optovikufa.ru/product/130097/pult-dlya-televizora-lg-akb72915244-led-tv/" TargetMode="External"/><Relationship Id="rId_hyperlink_2000" Type="http://schemas.openxmlformats.org/officeDocument/2006/relationships/hyperlink" Target="https://optovikufa.ru/product/138103/pult-dlya-televizora-lg-akb73615303-lcd-3d-huayu/" TargetMode="External"/><Relationship Id="rId_hyperlink_2001" Type="http://schemas.openxmlformats.org/officeDocument/2006/relationships/hyperlink" Target="https://optovikufa.ru/product/165431/pult-dlya-televizora-lg-akb73655802/" TargetMode="External"/><Relationship Id="rId_hyperlink_2002" Type="http://schemas.openxmlformats.org/officeDocument/2006/relationships/hyperlink" Target="https://optovikufa.ru/product/239142/pult-dlya-televizora-lg-akb73715601/" TargetMode="External"/><Relationship Id="rId_hyperlink_2003" Type="http://schemas.openxmlformats.org/officeDocument/2006/relationships/hyperlink" Target="https://optovikufa.ru/product/138108/pult-dlya-televizora-lg-akb73715603-lcd-led-tv-huayu/" TargetMode="External"/><Relationship Id="rId_hyperlink_2004" Type="http://schemas.openxmlformats.org/officeDocument/2006/relationships/hyperlink" Target="https://optovikufa.ru/product/239143/pult-dlya-televizora-lg-akb73715659-lcd-smart-3d-malenkiy-korpus/" TargetMode="External"/><Relationship Id="rId_hyperlink_2005" Type="http://schemas.openxmlformats.org/officeDocument/2006/relationships/hyperlink" Target="https://optovikufa.ru/product/239176/pult-dlya-televizora-lg-akb73756502-lcd-smart-3d-tv/" TargetMode="External"/><Relationship Id="rId_hyperlink_2006" Type="http://schemas.openxmlformats.org/officeDocument/2006/relationships/hyperlink" Target="https://optovikufa.ru/product/138155/pult-dlya-televizora-lg-akb73975729-lcd-smart-3d-malenkiy-korpus-tv/" TargetMode="External"/><Relationship Id="rId_hyperlink_2007" Type="http://schemas.openxmlformats.org/officeDocument/2006/relationships/hyperlink" Target="https://optovikufa.ru/product/169897/pult-dlya-televizora-lg-akb74475490-lcd-smart-tv-malenkiy-korpus/" TargetMode="External"/><Relationship Id="rId_hyperlink_2008" Type="http://schemas.openxmlformats.org/officeDocument/2006/relationships/hyperlink" Target="https://optovikufa.ru/product/239175/pult-dlya-televizora-lg-akb7509531275375611-lcd-s-knopkoy-ivi-tv-malenkiy-korpus/" TargetMode="External"/><Relationship Id="rId_hyperlink_2009" Type="http://schemas.openxmlformats.org/officeDocument/2006/relationships/hyperlink" Target="https://optovikufa.ru/product/138161/pult-dlya-televizora-lg-mr20ga-akb76036901-s-uprgolosom-i-myshyu-yasin-ergo-bahun-bauhn-kogan-smart-tv/" TargetMode="External"/><Relationship Id="rId_hyperlink_2010" Type="http://schemas.openxmlformats.org/officeDocument/2006/relationships/hyperlink" Target="https://optovikufa.ru/product/136794/pult-dlya-televizora-lg-mr21ga-akb76036208-s-uprgolosom-i-ukazkoy-smart-tv-huayu/" TargetMode="External"/><Relationship Id="rId_hyperlink_2011" Type="http://schemas.openxmlformats.org/officeDocument/2006/relationships/hyperlink" Target="https://optovikufa.ru/product/239154/pult-dlya-televizora-lg-mr21ga-ir-ru-clickpdu-s-kolesom-prokrutki-bez-golosa/" TargetMode="External"/><Relationship Id="rId_hyperlink_2012" Type="http://schemas.openxmlformats.org/officeDocument/2006/relationships/hyperlink" Target="https://optovikufa.ru/product/237497/pult-dlya-televizora-lg-universalnyy-rm-002cb-huayu/" TargetMode="External"/><Relationship Id="rId_hyperlink_2013" Type="http://schemas.openxmlformats.org/officeDocument/2006/relationships/hyperlink" Target="https://optovikufa.ru/product/128388/pult-dlya-televizora-lg-universalnyy-rm-158cb-kitay/" TargetMode="External"/><Relationship Id="rId_hyperlink_2014" Type="http://schemas.openxmlformats.org/officeDocument/2006/relationships/hyperlink" Target="https://optovikufa.ru/product/128389/pult-dlya-televizora-lg-universalnyy-rm-609cb/" TargetMode="External"/><Relationship Id="rId_hyperlink_2015" Type="http://schemas.openxmlformats.org/officeDocument/2006/relationships/hyperlink" Target="https://optovikufa.ru/product/138199/pult-dlya-televizora-lg-universalnyy-rm-667cb-kitay/" TargetMode="External"/><Relationship Id="rId_hyperlink_2016" Type="http://schemas.openxmlformats.org/officeDocument/2006/relationships/hyperlink" Target="https://optovikufa.ru/product/176723/pult-dlya-televizora-lg-universalnyy-rm-752cb-lcd/" TargetMode="External"/><Relationship Id="rId_hyperlink_2017" Type="http://schemas.openxmlformats.org/officeDocument/2006/relationships/hyperlink" Target="https://optovikufa.ru/product/223615/pult-dlya-televizora-lg-universalnyy-rm-l1162-dream/" TargetMode="External"/><Relationship Id="rId_hyperlink_2018" Type="http://schemas.openxmlformats.org/officeDocument/2006/relationships/hyperlink" Target="https://optovikufa.ru/product/237498/pult-dlya-televizora-lg-universalnyy-rm-l1162-s-funkciey-smart-3d-led-tv-korpus-akb73715603-huayu/" TargetMode="External"/><Relationship Id="rId_hyperlink_2019" Type="http://schemas.openxmlformats.org/officeDocument/2006/relationships/hyperlink" Target="https://optovikufa.ru/product/132960/pult-dlya-televizora-lg-universalnyy-rm-l1162w-belyy-3d-lcdled-tv-huayu/" TargetMode="External"/><Relationship Id="rId_hyperlink_2020" Type="http://schemas.openxmlformats.org/officeDocument/2006/relationships/hyperlink" Target="https://optovikufa.ru/product/237503/pult-dlya-televizora-lg-universalnyy-rm-l1379-tv-korpus-akb75095312-ver2-huayu/" TargetMode="External"/><Relationship Id="rId_hyperlink_2021" Type="http://schemas.openxmlformats.org/officeDocument/2006/relationships/hyperlink" Target="https://optovikufa.ru/product/228745/pult-dlya-televizora-lg-universalnyy-rm-l1616-dream/" TargetMode="External"/><Relationship Id="rId_hyperlink_2022" Type="http://schemas.openxmlformats.org/officeDocument/2006/relationships/hyperlink" Target="https://optovikufa.ru/product/237499/pult-dlya-televizora-lg-universalnyy-rm-l1726-dlya-vseh-modeley-lg-tv-ivi-netflix-prime-video-huayu/" TargetMode="External"/><Relationship Id="rId_hyperlink_2023" Type="http://schemas.openxmlformats.org/officeDocument/2006/relationships/hyperlink" Target="https://optovikufa.ru/product/238527/pult-dlya-televizora-lg-universalnyy-rm-l2022-iviokkohd-kinopoisk-korpus-akb76037608-clickpdu/" TargetMode="External"/><Relationship Id="rId_hyperlink_2024" Type="http://schemas.openxmlformats.org/officeDocument/2006/relationships/hyperlink" Target="https://optovikufa.ru/product/237500/pult-dlya-televizora-lg-universalnyy-rm-l810-korpus-akb33871413-huayu/" TargetMode="External"/><Relationship Id="rId_hyperlink_2025" Type="http://schemas.openxmlformats.org/officeDocument/2006/relationships/hyperlink" Target="https://optovikufa.ru/product/173014/pult-dlya-televizora-lg-universalnyy-rm-l859-lcd-huayu/" TargetMode="External"/><Relationship Id="rId_hyperlink_2026" Type="http://schemas.openxmlformats.org/officeDocument/2006/relationships/hyperlink" Target="https://optovikufa.ru/product/238536/pult-dlya-televizora-lg-universalnyy-rm-l930-ru-rm-l930-dlya-vseh-modeley-lg-korpus-akb73756502-huayu/" TargetMode="External"/><Relationship Id="rId_hyperlink_2027" Type="http://schemas.openxmlformats.org/officeDocument/2006/relationships/hyperlink" Target="https://optovikufa.ru/product/223617/pult-dlya-televizora-lg-universalnyy-rm-l9991-dream/" TargetMode="External"/><Relationship Id="rId_hyperlink_2028" Type="http://schemas.openxmlformats.org/officeDocument/2006/relationships/hyperlink" Target="https://optovikufa.ru/product/128390/pult-dlya-televizora-panasonic-universalnyy-rm-520m/" TargetMode="External"/><Relationship Id="rId_hyperlink_2029" Type="http://schemas.openxmlformats.org/officeDocument/2006/relationships/hyperlink" Target="https://optovikufa.ru/product/174948/pult-dlya-televizora-panasonic-universalnyy-rm-d720-lcd/" TargetMode="External"/><Relationship Id="rId_hyperlink_2030" Type="http://schemas.openxmlformats.org/officeDocument/2006/relationships/hyperlink" Target="https://optovikufa.ru/product/129336/pult-dlya-televizora-panasonic-universalnyy-rm-d920-lcd/" TargetMode="External"/><Relationship Id="rId_hyperlink_2031" Type="http://schemas.openxmlformats.org/officeDocument/2006/relationships/hyperlink" Target="https://optovikufa.ru/product/145355/pult-dlya-televizora-panasonic-universalnyy-rm-l1268-s-knopkoy-netflix-huayu/" TargetMode="External"/><Relationship Id="rId_hyperlink_2032" Type="http://schemas.openxmlformats.org/officeDocument/2006/relationships/hyperlink" Target="https://optovikufa.ru/product/223618/pult-dlya-televizora-panasonic-universalnyy-urc-97-dream/" TargetMode="External"/><Relationship Id="rId_hyperlink_2033" Type="http://schemas.openxmlformats.org/officeDocument/2006/relationships/hyperlink" Target="https://optovikufa.ru/product/130109/pult-dlya-televizora-philips-2422-549-02454-rc474701-tv/" TargetMode="External"/><Relationship Id="rId_hyperlink_2034" Type="http://schemas.openxmlformats.org/officeDocument/2006/relationships/hyperlink" Target="https://optovikufa.ru/product/174198/pult-dlya-televizora-philips-2422-549-90467-ykf309-001/" TargetMode="External"/><Relationship Id="rId_hyperlink_2035" Type="http://schemas.openxmlformats.org/officeDocument/2006/relationships/hyperlink" Target="https://optovikufa.ru/product/138175/pult-dlya-televizora-philips-2422-549-90477-3d-led-lcd-tv/" TargetMode="External"/><Relationship Id="rId_hyperlink_2036" Type="http://schemas.openxmlformats.org/officeDocument/2006/relationships/hyperlink" Target="https://optovikufa.ru/product/174042/pult-dlya-televizora-philips-9965-900-00449-ykf308-001-tv/" TargetMode="External"/><Relationship Id="rId_hyperlink_2037" Type="http://schemas.openxmlformats.org/officeDocument/2006/relationships/hyperlink" Target="https://optovikufa.ru/product/142164/pult-dlya-televizora-philips-9965-900-09443-lcd-tv/" TargetMode="External"/><Relationship Id="rId_hyperlink_2038" Type="http://schemas.openxmlformats.org/officeDocument/2006/relationships/hyperlink" Target="https://optovikufa.ru/product/142165/pult-dlya-televizora-philips-9965-900-09748-lcd-tv/" TargetMode="External"/><Relationship Id="rId_hyperlink_2039" Type="http://schemas.openxmlformats.org/officeDocument/2006/relationships/hyperlink" Target="https://optovikufa.ru/product/123396/pult-dlya-televizora-philips-rc-202360101-tv/" TargetMode="External"/><Relationship Id="rId_hyperlink_2040" Type="http://schemas.openxmlformats.org/officeDocument/2006/relationships/hyperlink" Target="https://optovikufa.ru/product/130118/pult-dlya-televizora-philips-rc-2023617/" TargetMode="External"/><Relationship Id="rId_hyperlink_2041" Type="http://schemas.openxmlformats.org/officeDocument/2006/relationships/hyperlink" Target="https://optovikufa.ru/product/239159/pult-dlya-televizora-philips-universalnyy-rm-022c-1-dlya-staryh-modeley-korpus-rc283501-huayu/" TargetMode="External"/><Relationship Id="rId_hyperlink_2042" Type="http://schemas.openxmlformats.org/officeDocument/2006/relationships/hyperlink" Target="https://optovikufa.ru/product/138185/pult-dlya-televizora-philips-universalnyy-rm-670c-lcd-led-tv-huayu/" TargetMode="External"/><Relationship Id="rId_hyperlink_2043" Type="http://schemas.openxmlformats.org/officeDocument/2006/relationships/hyperlink" Target="https://optovikufa.ru/product/143964/pult-dlya-televizora-philips-universalnyy-rm-d1000-korpus-rc-2143606-huayu/" TargetMode="External"/><Relationship Id="rId_hyperlink_2044" Type="http://schemas.openxmlformats.org/officeDocument/2006/relationships/hyperlink" Target="https://optovikufa.ru/product/130211/pult-dlya-televizora-philips-universalnyy-rm-d1110-lcd/" TargetMode="External"/><Relationship Id="rId_hyperlink_2045" Type="http://schemas.openxmlformats.org/officeDocument/2006/relationships/hyperlink" Target="https://optovikufa.ru/product/177429/pult-dlya-televizora-philips-universalnyy-rm-l1030-rc-2422-5490-2543-oval-huayu/" TargetMode="External"/><Relationship Id="rId_hyperlink_2046" Type="http://schemas.openxmlformats.org/officeDocument/2006/relationships/hyperlink" Target="https://optovikufa.ru/product/226237/pult-dlya-televizora-philips-universalnyy-rm-l1128-dream/" TargetMode="External"/><Relationship Id="rId_hyperlink_2047" Type="http://schemas.openxmlformats.org/officeDocument/2006/relationships/hyperlink" Target="https://optovikufa.ru/product/226664/pult-dlya-televizora-philips-universalnyy-rm-l1220-dream/" TargetMode="External"/><Relationship Id="rId_hyperlink_2048" Type="http://schemas.openxmlformats.org/officeDocument/2006/relationships/hyperlink" Target="https://optovikufa.ru/product/239161/pult-dlya-televizora-philips-universalnyy-rm-l1220-lcd-korpus-9965-900-09443-huayu/" TargetMode="External"/><Relationship Id="rId_hyperlink_2049" Type="http://schemas.openxmlformats.org/officeDocument/2006/relationships/hyperlink" Target="https://optovikufa.ru/product/239162/pult-dlya-televizora-philips-universalnyy-rm-l1225-lcd-new-korpus-996590009443-huayu/" TargetMode="External"/><Relationship Id="rId_hyperlink_2050" Type="http://schemas.openxmlformats.org/officeDocument/2006/relationships/hyperlink" Target="https://optovikufa.ru/product/138188/pult-universalnyy-dlya-philips-rm-l1225/" TargetMode="External"/><Relationship Id="rId_hyperlink_2051" Type="http://schemas.openxmlformats.org/officeDocument/2006/relationships/hyperlink" Target="https://optovikufa.ru/product/237493/pult-dlya-televizora-polar-universalnyy-rm-l1057-shivaki-izumi-dns-orion-akira-supra-rolsen-bbk-saturn-clickpdu/" TargetMode="External"/><Relationship Id="rId_hyperlink_2052" Type="http://schemas.openxmlformats.org/officeDocument/2006/relationships/hyperlink" Target="https://optovikufa.ru/product/238804/pult-dlya-televizora-polar-universalnyy-rm-l11533-akai-aoc-dexp-dns-doffler-elenberg-erisson-fusion-harper-hyundai-skyline-telefunken-vityaz-vekta-dream/" TargetMode="External"/><Relationship Id="rId_hyperlink_2053" Type="http://schemas.openxmlformats.org/officeDocument/2006/relationships/hyperlink" Target="https://optovikufa.ru/product/239146/pult-dlya-televizora-rolsen-rc-a06-rl-32b05frb-32k101uirbis-t24q44hal-tv/" TargetMode="External"/><Relationship Id="rId_hyperlink_2054" Type="http://schemas.openxmlformats.org/officeDocument/2006/relationships/hyperlink" Target="https://optovikufa.ru/product/177477/pult-dlya-televizora-rubin-rb-28d7t2ccx509/" TargetMode="External"/><Relationship Id="rId_hyperlink_2055" Type="http://schemas.openxmlformats.org/officeDocument/2006/relationships/hyperlink" Target="https://optovikufa.ru/product/128360/pult-dlya-televizora-rubin-rc-7-belyy-tv/" TargetMode="External"/><Relationship Id="rId_hyperlink_2056" Type="http://schemas.openxmlformats.org/officeDocument/2006/relationships/hyperlink" Target="https://optovikufa.ru/product/169191/pult-dlya-televizora-rubin-rc-7-chernyy-tv/" TargetMode="External"/><Relationship Id="rId_hyperlink_2057" Type="http://schemas.openxmlformats.org/officeDocument/2006/relationships/hyperlink" Target="https://optovikufa.ru/product/174033/pult-dlya-televizora-samsung-aa59-00602a-led-tv/" TargetMode="External"/><Relationship Id="rId_hyperlink_2058" Type="http://schemas.openxmlformats.org/officeDocument/2006/relationships/hyperlink" Target="https://optovikufa.ru/product/130134/pult-dlya-televizora-samsung-aa59-00603a-led-tv/" TargetMode="External"/><Relationship Id="rId_hyperlink_2059" Type="http://schemas.openxmlformats.org/officeDocument/2006/relationships/hyperlink" Target="https://optovikufa.ru/product/239148/pult-dlya-televizora-samsung-aa59-00741a-led-tv/" TargetMode="External"/><Relationship Id="rId_hyperlink_2060" Type="http://schemas.openxmlformats.org/officeDocument/2006/relationships/hyperlink" Target="https://optovikufa.ru/product/142170/pult-dlya-televizora-samsung-aa59-00818a-3d-lcd-malenkiy-korpus/" TargetMode="External"/><Relationship Id="rId_hyperlink_2061" Type="http://schemas.openxmlformats.org/officeDocument/2006/relationships/hyperlink" Target="https://optovikufa.ru/product/138180/pult-dlya-televizora-samsung-bn59-01178b-stb-led-smart-tv/" TargetMode="External"/><Relationship Id="rId_hyperlink_2062" Type="http://schemas.openxmlformats.org/officeDocument/2006/relationships/hyperlink" Target="https://optovikufa.ru/product/239149/pult-dlya-televizora-samsung-bn59-01198c-lcd-led-tv/" TargetMode="External"/><Relationship Id="rId_hyperlink_2063" Type="http://schemas.openxmlformats.org/officeDocument/2006/relationships/hyperlink" Target="https://optovikufa.ru/product/149724/pult-dlya-televizora-samsung-bn59-01199g-led-smart-tv/" TargetMode="External"/><Relationship Id="rId_hyperlink_2064" Type="http://schemas.openxmlformats.org/officeDocument/2006/relationships/hyperlink" Target="https://optovikufa.ru/product/239990/pult-dlya-televizora-samsung-bn59-01312b-bn59-01274a-bn59-01242a-smart-control-s-upravlgolosom-huayu/" TargetMode="External"/><Relationship Id="rId_hyperlink_2065" Type="http://schemas.openxmlformats.org/officeDocument/2006/relationships/hyperlink" Target="https://optovikufa.ru/product/239991/pult-dlya-televizora-samsung-bn59-01350j-bn59-01357c-bn59-01357h-bn59-01357b-smart-control-s-upravlgolosom-huayu/" TargetMode="External"/><Relationship Id="rId_hyperlink_2066" Type="http://schemas.openxmlformats.org/officeDocument/2006/relationships/hyperlink" Target="https://optovikufa.ru/product/239992/pult-dlya-televizora-samsung-bn59-01363a-smart-control-qled-8k-s-upravlgolosom-huayu/" TargetMode="External"/><Relationship Id="rId_hyperlink_2067" Type="http://schemas.openxmlformats.org/officeDocument/2006/relationships/hyperlink" Target="https://optovikufa.ru/product/243136/pult-dlya-televizora-samsung-bn59-01363g-smart-tv-s-upravlgolosom-dream/" TargetMode="External"/><Relationship Id="rId_hyperlink_2068" Type="http://schemas.openxmlformats.org/officeDocument/2006/relationships/hyperlink" Target="https://optovikufa.ru/product/239138/pult-dlya-televizora-samsung-bn59-01363g-smart-tv-s-upravlgolosom-huayu/" TargetMode="External"/><Relationship Id="rId_hyperlink_2069" Type="http://schemas.openxmlformats.org/officeDocument/2006/relationships/hyperlink" Target="https://optovikufa.ru/product/130116/pult-dlya-televizora-samsung-bn59-01363j-smart-tv-s-upravlgolosom-huayu/" TargetMode="External"/><Relationship Id="rId_hyperlink_2070" Type="http://schemas.openxmlformats.org/officeDocument/2006/relationships/hyperlink" Target="https://optovikufa.ru/product/237496/pult-dlya-televizora-samsung-universalnyy-rm-016fc-1-dlya-staryh-modeley-huayu/" TargetMode="External"/><Relationship Id="rId_hyperlink_2071" Type="http://schemas.openxmlformats.org/officeDocument/2006/relationships/hyperlink" Target="https://optovikufa.ru/product/238528/pult-dlya-televizora-samsung-universalnyy-rm-179fc-1-dlya-staryh-modeleyuniversalnyy-samsung-huayu/" TargetMode="External"/><Relationship Id="rId_hyperlink_2072" Type="http://schemas.openxmlformats.org/officeDocument/2006/relationships/hyperlink" Target="https://optovikufa.ru/product/239165/pult-dlya-televizora-samsung-universalnyy-rm-552fc-korpus-aa59-00370a-dlya-staryh-modeley-samsung-huayu/" TargetMode="External"/><Relationship Id="rId_hyperlink_2073" Type="http://schemas.openxmlformats.org/officeDocument/2006/relationships/hyperlink" Target="https://optovikufa.ru/product/128395/pult-dlya-televizora-samsung-universalnyy-rm-658f-korpus-aa59-00401b-huayu/" TargetMode="External"/><Relationship Id="rId_hyperlink_2074" Type="http://schemas.openxmlformats.org/officeDocument/2006/relationships/hyperlink" Target="https://optovikufa.ru/product/219333/pult-dlya-televizora-samsung-universalnyy-rm-d1078-dream/" TargetMode="External"/><Relationship Id="rId_hyperlink_2075" Type="http://schemas.openxmlformats.org/officeDocument/2006/relationships/hyperlink" Target="https://optovikufa.ru/product/239166/pult-dlya-televizora-samsung-universalnyy-rm-d10782-netflix-prime-video-korpus-aa59-00582a-huayu/" TargetMode="External"/><Relationship Id="rId_hyperlink_2076" Type="http://schemas.openxmlformats.org/officeDocument/2006/relationships/hyperlink" Target="https://optovikufa.ru/product/239995/pult-dlya-televizora-samsung-universalnyy-rm-g1800-v1-smarttv-korpus-bn59-01274a-huayu/" TargetMode="External"/><Relationship Id="rId_hyperlink_2077" Type="http://schemas.openxmlformats.org/officeDocument/2006/relationships/hyperlink" Target="https://optovikufa.ru/product/239155/pult-dlya-televizora-samsung-universalnyy-rm-g2500-v4-smart-tv-s-upr-golosom-korpus-bn59-01350j/" TargetMode="External"/><Relationship Id="rId_hyperlink_2078" Type="http://schemas.openxmlformats.org/officeDocument/2006/relationships/hyperlink" Target="https://optovikufa.ru/product/228746/pult-dlya-televizora-samsung-universalnyy-rm-l1080-dream/" TargetMode="External"/><Relationship Id="rId_hyperlink_2079" Type="http://schemas.openxmlformats.org/officeDocument/2006/relationships/hyperlink" Target="https://optovikufa.ru/product/241898/pult-dlya-televizora-samsung-universalnyy-rm-l1080-dream-tehpak/" TargetMode="External"/><Relationship Id="rId_hyperlink_2080" Type="http://schemas.openxmlformats.org/officeDocument/2006/relationships/hyperlink" Target="https://optovikufa.ru/product/239741/pult-dlya-televizora-samsung-universalnyy-rm-l1088-lcdled-tv-dream/" TargetMode="External"/><Relationship Id="rId_hyperlink_2081" Type="http://schemas.openxmlformats.org/officeDocument/2006/relationships/hyperlink" Target="https://optovikufa.ru/product/233016/pult-dlya-televizora-samsung-universalnyy-rm-l10881-new-live-power/" TargetMode="External"/><Relationship Id="rId_hyperlink_2082" Type="http://schemas.openxmlformats.org/officeDocument/2006/relationships/hyperlink" Target="https://optovikufa.ru/product/239164/pult-dlya-televizora-samsung-universalnyy-rm-l1089-korpus-bn59-01268d-prime-video-netflix3dsmart-hub-lcd-huayu/" TargetMode="External"/><Relationship Id="rId_hyperlink_2083" Type="http://schemas.openxmlformats.org/officeDocument/2006/relationships/hyperlink" Target="https://optovikufa.ru/product/147811/pult-dlya-televizora-samsung-universalnyy-rm-l1593-korpus-bn59-01259b-ik-signal-lcd-smart-tv-huayu/" TargetMode="External"/><Relationship Id="rId_hyperlink_2084" Type="http://schemas.openxmlformats.org/officeDocument/2006/relationships/hyperlink" Target="https://optovikufa.ru/product/239152/pult-dlya-televizora-samsung-universalnyy-rm-l1598-lcd-smart-tv-clickpdu/" TargetMode="External"/><Relationship Id="rId_hyperlink_2085" Type="http://schemas.openxmlformats.org/officeDocument/2006/relationships/hyperlink" Target="https://optovikufa.ru/product/241126/pult-dlya-televizora-samsung-universalnyy-rm-l1598-lcd-smart-tv-livepower/" TargetMode="External"/><Relationship Id="rId_hyperlink_2086" Type="http://schemas.openxmlformats.org/officeDocument/2006/relationships/hyperlink" Target="https://optovikufa.ru/product/239996/pult-dlya-televizora-samsung-universalnyy-rm-l1611-na-ik-signale-korpus-bn59-01312b-huayu/" TargetMode="External"/><Relationship Id="rId_hyperlink_2087" Type="http://schemas.openxmlformats.org/officeDocument/2006/relationships/hyperlink" Target="https://optovikufa.ru/product/228747/pult-dlya-televizora-samsung-universalnyy-rm-l1618-dream/" TargetMode="External"/><Relationship Id="rId_hyperlink_2088" Type="http://schemas.openxmlformats.org/officeDocument/2006/relationships/hyperlink" Target="https://optovikufa.ru/product/237505/pult-dlya-televizora-samsung-universalnyy-rm-l1618-korpus-bn59-01315b-huayu/" TargetMode="External"/><Relationship Id="rId_hyperlink_2089" Type="http://schemas.openxmlformats.org/officeDocument/2006/relationships/hyperlink" Target="https://optovikufa.ru/product/164462/pult-dlya-televizora-samsung-universalnyy-rm-l919-live-power/" TargetMode="External"/><Relationship Id="rId_hyperlink_2090" Type="http://schemas.openxmlformats.org/officeDocument/2006/relationships/hyperlink" Target="https://optovikufa.ru/product/239997/pult-universalnyy-dlya-samsung-rm-l10881/" TargetMode="External"/><Relationship Id="rId_hyperlink_2091" Type="http://schemas.openxmlformats.org/officeDocument/2006/relationships/hyperlink" Target="https://optovikufa.ru/product/238515/pult-dlya-televizora-shivaki-2200-ed00sh2200-ed00shivpolar-2200-ed00polaerisson-2200-ed00erislcd-tv/" TargetMode="External"/><Relationship Id="rId_hyperlink_2092" Type="http://schemas.openxmlformats.org/officeDocument/2006/relationships/hyperlink" Target="https://optovikufa.ru/product/150398/pult-universalnyy-dlya-rm-l905-lcdledsanyo/" TargetMode="External"/><Relationship Id="rId_hyperlink_2093" Type="http://schemas.openxmlformats.org/officeDocument/2006/relationships/hyperlink" Target="https://optovikufa.ru/product/239150/pult-dlya-televizora-sharp-gj210haier-lt-19a1-lcd-tv-huayu/" TargetMode="External"/><Relationship Id="rId_hyperlink_2094" Type="http://schemas.openxmlformats.org/officeDocument/2006/relationships/hyperlink" Target="https://optovikufa.ru/product/239151/pult-dlya-televizora-sharp-gj220-lcd-tv/" TargetMode="External"/><Relationship Id="rId_hyperlink_2095" Type="http://schemas.openxmlformats.org/officeDocument/2006/relationships/hyperlink" Target="https://optovikufa.ru/product/238330/pult-dlya-televizora-sharp-lc-32hi3222e-lcdtv/" TargetMode="External"/><Relationship Id="rId_hyperlink_2096" Type="http://schemas.openxmlformats.org/officeDocument/2006/relationships/hyperlink" Target="https://optovikufa.ru/product/174183/pult-dlya-televizora-sony-rm-ed054/" TargetMode="External"/><Relationship Id="rId_hyperlink_2097" Type="http://schemas.openxmlformats.org/officeDocument/2006/relationships/hyperlink" Target="https://optovikufa.ru/product/142204/pult-dlya-televizora-sony-rm-ed062-lcd-tv/" TargetMode="External"/><Relationship Id="rId_hyperlink_2098" Type="http://schemas.openxmlformats.org/officeDocument/2006/relationships/hyperlink" Target="https://optovikufa.ru/product/174205/pult-dlya-televizora-sony-universalnyy-rm-d998-live-power/" TargetMode="External"/><Relationship Id="rId_hyperlink_2099" Type="http://schemas.openxmlformats.org/officeDocument/2006/relationships/hyperlink" Target="https://optovikufa.ru/product/138195/pult-dlya-televizora-sony-universalnyy-rm-l1165-3d-lcdled-huayu/" TargetMode="External"/><Relationship Id="rId_hyperlink_2100" Type="http://schemas.openxmlformats.org/officeDocument/2006/relationships/hyperlink" Target="https://optovikufa.ru/product/239167/pult-dlya-televizora-sony-universalnyy-rm-l1185-korpus-rm-ed062-huayu/" TargetMode="External"/><Relationship Id="rId_hyperlink_2101" Type="http://schemas.openxmlformats.org/officeDocument/2006/relationships/hyperlink" Target="https://optovikufa.ru/product/239136/pult-dlya-televizora-sony-universalnyy-rm-l1275-korpus-rmt-tx101d-huayu/" TargetMode="External"/><Relationship Id="rId_hyperlink_2102" Type="http://schemas.openxmlformats.org/officeDocument/2006/relationships/hyperlink" Target="https://optovikufa.ru/product/239174/pult-dlya-televizora-sony-universalnyy-rm-l1351-korpus-rmf-tx300-google-play-youtube-netflix-huayu/" TargetMode="External"/><Relationship Id="rId_hyperlink_2103" Type="http://schemas.openxmlformats.org/officeDocument/2006/relationships/hyperlink" Target="https://optovikufa.ru/product/223616/pult-dlya-televizora-sony-universalnyy-rm-l1370-dream/" TargetMode="External"/><Relationship Id="rId_hyperlink_2104" Type="http://schemas.openxmlformats.org/officeDocument/2006/relationships/hyperlink" Target="https://optovikufa.ru/product/169905/pult-dlya-televizora-sony-universalnyy-rm-l1370-lcd/" TargetMode="External"/><Relationship Id="rId_hyperlink_2105" Type="http://schemas.openxmlformats.org/officeDocument/2006/relationships/hyperlink" Target="https://optovikufa.ru/product/241923/pult-dlya-televizora-sony-universalnyy-rm-l1690-korpus-rmf-tx520e-huayu/" TargetMode="External"/><Relationship Id="rId_hyperlink_2106" Type="http://schemas.openxmlformats.org/officeDocument/2006/relationships/hyperlink" Target="https://optovikufa.ru/product/241924/pult-dlya-televizora-sony-universalnyy-rm-l1770-korpus-rmf-tx520-huayu/" TargetMode="External"/><Relationship Id="rId_hyperlink_2107" Type="http://schemas.openxmlformats.org/officeDocument/2006/relationships/hyperlink" Target="https://optovikufa.ru/product/238518/pult-dlya-televizora-supra-al52d-b-rc19-stv-lc24lt0010weconorionerissonfusionbqharperkraftokeandexpdns/" TargetMode="External"/><Relationship Id="rId_hyperlink_2108" Type="http://schemas.openxmlformats.org/officeDocument/2006/relationships/hyperlink" Target="https://optovikufa.ru/product/239924/pult-dlya-televizora-supra-hof14j016gpd10-hof14h536gpd5aiwagoldstarerissontelefunken-lcd-tv/" TargetMode="External"/><Relationship Id="rId_hyperlink_2109" Type="http://schemas.openxmlformats.org/officeDocument/2006/relationships/hyperlink" Target="https://optovikufa.ru/product/240085/pult-dlya-televizora-supra-rc-19-supra-erisson-harper-hiberg-okean-orion-kraft-fusion-akai-hartens-bq-econ-blackton-skyline-telefunken-dream/" TargetMode="External"/><Relationship Id="rId_hyperlink_2110" Type="http://schemas.openxmlformats.org/officeDocument/2006/relationships/hyperlink" Target="https://optovikufa.ru/product/238517/pult-dlya-televizora-supra-rc2000e02stv-lc32t850wl-mystery-mtv-3027lt2-lcdthomsonhyundaitelefunkenfusio/" TargetMode="External"/><Relationship Id="rId_hyperlink_2111" Type="http://schemas.openxmlformats.org/officeDocument/2006/relationships/hyperlink" Target="https://optovikufa.ru/product/239993/pult-dlya-televizora-supra-rcf3brc5brcf2brc7brcf8b-rc9brc17b-ic-lcd-tv-huayu/" TargetMode="External"/><Relationship Id="rId_hyperlink_2112" Type="http://schemas.openxmlformats.org/officeDocument/2006/relationships/hyperlink" Target="https://optovikufa.ru/product/238519/pult-dlya-televizora-supra-rs41-mouse-stv-lc32st3001fakira39les04t2pamcvdexpleben-lcd-tv/" TargetMode="External"/><Relationship Id="rId_hyperlink_2113" Type="http://schemas.openxmlformats.org/officeDocument/2006/relationships/hyperlink" Target="https://optovikufa.ru/product/241890/pult-dlya-televizora-supra-rs41-mouse-dream-stv-lc32st3001fakira39les04t2pamcvdexpleben-lcd-tv/" TargetMode="External"/><Relationship Id="rId_hyperlink_2114" Type="http://schemas.openxmlformats.org/officeDocument/2006/relationships/hyperlink" Target="https://optovikufa.ru/product/238520/pult-dlya-televizora-supra-y-72cy-72c1-fusion-aiwa/" TargetMode="External"/><Relationship Id="rId_hyperlink_2115" Type="http://schemas.openxmlformats.org/officeDocument/2006/relationships/hyperlink" Target="https://optovikufa.ru/product/143970/pult-dlya-televizora-supra-y-72c2-timeshift-lcd/" TargetMode="External"/><Relationship Id="rId_hyperlink_2116" Type="http://schemas.openxmlformats.org/officeDocument/2006/relationships/hyperlink" Target="https://optovikufa.ru/product/238521/pult-dlya-televizora-supra-y-72c3-stv-lc19t410wl-goldstar-aiwa-orion/" TargetMode="External"/><Relationship Id="rId_hyperlink_2117" Type="http://schemas.openxmlformats.org/officeDocument/2006/relationships/hyperlink" Target="https://optovikufa.ru/product/237494/pult-dlya-televizora-supra-universalnyy-rm-l10422-mystery-hyundai-fusion-shivaki-general-izumi-huayu/" TargetMode="External"/><Relationship Id="rId_hyperlink_2118" Type="http://schemas.openxmlformats.org/officeDocument/2006/relationships/hyperlink" Target="https://optovikufa.ru/product/132980/pult-dlya-televizora-supra-universalnyy-rm-l1097-clickpdu/" TargetMode="External"/><Relationship Id="rId_hyperlink_2119" Type="http://schemas.openxmlformats.org/officeDocument/2006/relationships/hyperlink" Target="https://optovikufa.ru/product/241922/pult-dlya-televizora-supra-universalnyy-rm-l1211-akai-dexp-dns-rolsen-vityaz-huayu/" TargetMode="External"/><Relationship Id="rId_hyperlink_2120" Type="http://schemas.openxmlformats.org/officeDocument/2006/relationships/hyperlink" Target="https://optovikufa.ru/product/238522/pult-dlya-televizora-telefunken-507dtv-tf-led28s9t2mysterydexpdnsdofflererissonizumihelixsoundmax/" TargetMode="External"/><Relationship Id="rId_hyperlink_2121" Type="http://schemas.openxmlformats.org/officeDocument/2006/relationships/hyperlink" Target="https://optovikufa.ru/product/237495/pult-dlya-televizora-telefunken-universalnyy-dlya-vseh-modeley-rm-l1595-clickpdu/" TargetMode="External"/><Relationship Id="rId_hyperlink_2122" Type="http://schemas.openxmlformats.org/officeDocument/2006/relationships/hyperlink" Target="https://optovikufa.ru/product/237506/pult-dlya-televizora-thomson-universalnyy-rm-th100-korpus-rct-100-huayu/" TargetMode="External"/><Relationship Id="rId_hyperlink_2123" Type="http://schemas.openxmlformats.org/officeDocument/2006/relationships/hyperlink" Target="https://optovikufa.ru/product/169189/pult-dlya-televizora-toshiba-ct-90326/" TargetMode="External"/><Relationship Id="rId_hyperlink_2124" Type="http://schemas.openxmlformats.org/officeDocument/2006/relationships/hyperlink" Target="https://optovikufa.ru/product/128403/pult-dlya-televizora-toshiba-universalnyy-rm-162b/" TargetMode="External"/><Relationship Id="rId_hyperlink_2125" Type="http://schemas.openxmlformats.org/officeDocument/2006/relationships/hyperlink" Target="https://optovikufa.ru/product/230441/pult-dlya-televizora-toshiba-universalnyy-rm-l890-huayu/" TargetMode="External"/><Relationship Id="rId_hyperlink_2126" Type="http://schemas.openxmlformats.org/officeDocument/2006/relationships/hyperlink" Target="https://optovikufa.ru/product/148703/pult-dlya-televizora-aiwa-universalnyy-rm-053n/" TargetMode="External"/><Relationship Id="rId_hyperlink_2127" Type="http://schemas.openxmlformats.org/officeDocument/2006/relationships/hyperlink" Target="https://optovikufa.ru/product/238526/pult-dlya-televizora-asano-universalnyy-rs41-smart-clickpdu-akaibqbrightquickdaewoodexpeconerissonfusionharperhihyundailumusmystery-clickpdu/" TargetMode="External"/><Relationship Id="rId_hyperlink_2128" Type="http://schemas.openxmlformats.org/officeDocument/2006/relationships/hyperlink" Target="https://optovikufa.ru/product/173636/pult-dlya-televizora-mitsubishi-universalnyy-rm-011s/" TargetMode="External"/><Relationship Id="rId_hyperlink_2129" Type="http://schemas.openxmlformats.org/officeDocument/2006/relationships/hyperlink" Target="https://optovikufa.ru/product/227437/pult-dlya-televizora-tcl-universalnyy-tc-97e/" TargetMode="External"/><Relationship Id="rId_hyperlink_2130" Type="http://schemas.openxmlformats.org/officeDocument/2006/relationships/hyperlink" Target="https://optovikufa.ru/product/237507/pult-dlya-televizora-vestel-universalnyy-dlya-vseh-modeley-tv-rm-l1200-huayu/" TargetMode="External"/><Relationship Id="rId_hyperlink_2131" Type="http://schemas.openxmlformats.org/officeDocument/2006/relationships/hyperlink" Target="https://optovikufa.ru/product/130247/pult-du-mini-universal-js-02-tv/" TargetMode="External"/><Relationship Id="rId_hyperlink_2132" Type="http://schemas.openxmlformats.org/officeDocument/2006/relationships/hyperlink" Target="https://optovikufa.ru/product/164883/pult-du-universalnyy-mini-tv/" TargetMode="External"/><Relationship Id="rId_hyperlink_2133" Type="http://schemas.openxmlformats.org/officeDocument/2006/relationships/hyperlink" Target="https://optovikufa.ru/product/177496/chehol-dlya-pulta-du-60h130/" TargetMode="External"/><Relationship Id="rId_hyperlink_2134" Type="http://schemas.openxmlformats.org/officeDocument/2006/relationships/hyperlink" Target="https://optovikufa.ru/product/177497/chehol-dlya-pulta-du-60h150/" TargetMode="External"/><Relationship Id="rId_hyperlink_2135" Type="http://schemas.openxmlformats.org/officeDocument/2006/relationships/hyperlink" Target="https://optovikufa.ru/product/240000/chehol-dlya-pulta-du-wimax-45h150/" TargetMode="External"/><Relationship Id="rId_hyperlink_2136" Type="http://schemas.openxmlformats.org/officeDocument/2006/relationships/hyperlink" Target="https://optovikufa.ru/product/238625/chehol-dlya-pulta-du-wimax-45h170/" TargetMode="External"/><Relationship Id="rId_hyperlink_2137" Type="http://schemas.openxmlformats.org/officeDocument/2006/relationships/hyperlink" Target="https://optovikufa.ru/product/177484/chehol-dlya-pulta-du-wimax-50h130/" TargetMode="External"/><Relationship Id="rId_hyperlink_2138" Type="http://schemas.openxmlformats.org/officeDocument/2006/relationships/hyperlink" Target="https://optovikufa.ru/product/177485/chehol-dlya-pulta-du-wimax-50h150/" TargetMode="External"/><Relationship Id="rId_hyperlink_2139" Type="http://schemas.openxmlformats.org/officeDocument/2006/relationships/hyperlink" Target="https://optovikufa.ru/product/233280/chehol-dlya-pulta-du-wimax-50h170/" TargetMode="External"/><Relationship Id="rId_hyperlink_2140" Type="http://schemas.openxmlformats.org/officeDocument/2006/relationships/hyperlink" Target="https://optovikufa.ru/product/177489/chehol-dlya-pulta-du-wimax-50h190/" TargetMode="External"/><Relationship Id="rId_hyperlink_2141" Type="http://schemas.openxmlformats.org/officeDocument/2006/relationships/hyperlink" Target="https://optovikufa.ru/product/233281/chehol-dlya-pulta-du-wimax-50h210/" TargetMode="External"/><Relationship Id="rId_hyperlink_2142" Type="http://schemas.openxmlformats.org/officeDocument/2006/relationships/hyperlink" Target="https://optovikufa.ru/product/177493/chehol-dlya-pulta-du-wimax-50h230/" TargetMode="External"/><Relationship Id="rId_hyperlink_2143" Type="http://schemas.openxmlformats.org/officeDocument/2006/relationships/hyperlink" Target="https://optovikufa.ru/product/177498/chehol-dlya-pulta-du-wimax-60h170/" TargetMode="External"/><Relationship Id="rId_hyperlink_2144" Type="http://schemas.openxmlformats.org/officeDocument/2006/relationships/hyperlink" Target="https://optovikufa.ru/product/177499/chehol-dlya-pulta-du-wimax-60h190/" TargetMode="External"/><Relationship Id="rId_hyperlink_2145" Type="http://schemas.openxmlformats.org/officeDocument/2006/relationships/hyperlink" Target="https://optovikufa.ru/product/177501/chehol-dlya-pulta-du-wimax-60h210/" TargetMode="External"/><Relationship Id="rId_hyperlink_2146" Type="http://schemas.openxmlformats.org/officeDocument/2006/relationships/hyperlink" Target="https://optovikufa.ru/product/177503/chehol-dlya-pulta-du-wimax-60h250/" TargetMode="External"/><Relationship Id="rId_hyperlink_2147" Type="http://schemas.openxmlformats.org/officeDocument/2006/relationships/hyperlink" Target="https://optovikufa.ru/product/148026/radiopriemnik-fepe-fp-1366-analogovyy-strelochnyy-displey-fm-am-sv-pit-setevoy-220vbatareyki-2hr20/" TargetMode="External"/><Relationship Id="rId_hyperlink_2148" Type="http://schemas.openxmlformats.org/officeDocument/2006/relationships/hyperlink" Target="https://optovikufa.ru/product/167859/radiopriemnik-fepe-fp-1821u-analogovyy-strelochnyy-displey-fm-am-sv-pitsetevoy-220vbatareyki-2hr20/" TargetMode="External"/><Relationship Id="rId_hyperlink_2149" Type="http://schemas.openxmlformats.org/officeDocument/2006/relationships/hyperlink" Target="https://optovikufa.ru/product/225851/radiopriemnik-portativnyy-efir-13-fm-64-108mgc-bat-4r20-220v-usbsdmicrosdaux/" TargetMode="External"/><Relationship Id="rId_hyperlink_2150" Type="http://schemas.openxmlformats.org/officeDocument/2006/relationships/hyperlink" Target="https://optovikufa.ru/product/174257/radiopriemnik-portativnyy-fepe-fp-1360u-analogovyy-fm-am-sv-displstrelochnyy-pitsetevoy2hr20-usb-sd-tf-fonarik-aux-razem-dlya-mikr-svetomuzyka-o/" TargetMode="External"/><Relationship Id="rId_hyperlink_2151" Type="http://schemas.openxmlformats.org/officeDocument/2006/relationships/hyperlink" Target="https://optovikufa.ru/product/142227/radiopriemnik-portativnyy-fepe-fp-1372u-cifrovoy-fm-am-sv-svetomuzrgb-pitsetevoy2hr20-usb-sd-aux/" TargetMode="External"/><Relationship Id="rId_hyperlink_2152" Type="http://schemas.openxmlformats.org/officeDocument/2006/relationships/hyperlink" Target="https://optovikufa.ru/product/146257/radiopriemnik-portativnyy-fepe-fp-1775u-analogovyy-fm-am-sv-displstrelochnyy-pitsetevoy2hr20-chernyy-seryy/" TargetMode="External"/><Relationship Id="rId_hyperlink_2153" Type="http://schemas.openxmlformats.org/officeDocument/2006/relationships/hyperlink" Target="https://optovikufa.ru/product/146259/radiopriemnik-portativnyy-fepe-fp-1781bt-analogovyy-fm-am-sv-displstrelochnyy-pitsetevoy2hr20-chernyy-seryy/" TargetMode="External"/><Relationship Id="rId_hyperlink_2154" Type="http://schemas.openxmlformats.org/officeDocument/2006/relationships/hyperlink" Target="https://optovikufa.ru/product/240556/radiopriemnik-portativnyy-fepe-fp-221-usbtfbluetooth/" TargetMode="External"/><Relationship Id="rId_hyperlink_2155" Type="http://schemas.openxmlformats.org/officeDocument/2006/relationships/hyperlink" Target="https://optovikufa.ru/product/228149/radiopriemnik-portativnyy-fepe-fp-252bt-s-solnechnaya-panel/" TargetMode="External"/><Relationship Id="rId_hyperlink_2156" Type="http://schemas.openxmlformats.org/officeDocument/2006/relationships/hyperlink" Target="https://optovikufa.ru/product/228150/radiopriemnik-portativnyy-fepe-fp-256bt-s-solnechnaya-panel/" TargetMode="External"/><Relationship Id="rId_hyperlink_2157" Type="http://schemas.openxmlformats.org/officeDocument/2006/relationships/hyperlink" Target="https://optovikufa.ru/product/242514/radiopriemnik-portativnyy-fepe-fp-285bt/" TargetMode="External"/><Relationship Id="rId_hyperlink_2158" Type="http://schemas.openxmlformats.org/officeDocument/2006/relationships/hyperlink" Target="https://optovikufa.ru/product/242515/radiopriemnik-portativnyy-fepe-fp-308bt/" TargetMode="External"/><Relationship Id="rId_hyperlink_2159" Type="http://schemas.openxmlformats.org/officeDocument/2006/relationships/hyperlink" Target="https://optovikufa.ru/product/183669/radiopriemnik-portativnyy-golon-608/" TargetMode="External"/><Relationship Id="rId_hyperlink_2160" Type="http://schemas.openxmlformats.org/officeDocument/2006/relationships/hyperlink" Target="https://optovikufa.ru/product/183667/radiopriemnik-portativnyy-golon-rx-606ac/" TargetMode="External"/><Relationship Id="rId_hyperlink_2161" Type="http://schemas.openxmlformats.org/officeDocument/2006/relationships/hyperlink" Target="https://optovikufa.ru/product/239587/radiopriemnik-portativnyy-rdd-rd-319bts-usb-tf-solnechnaya-panel/" TargetMode="External"/><Relationship Id="rId_hyperlink_2162" Type="http://schemas.openxmlformats.org/officeDocument/2006/relationships/hyperlink" Target="https://optovikufa.ru/product/174253/radiopriemnik-portativnyy-rrs-rs-2400-analogovyy-fm-am-sv-displstrelochnyy-pitsetevoy2hr20/" TargetMode="External"/><Relationship Id="rId_hyperlink_2163" Type="http://schemas.openxmlformats.org/officeDocument/2006/relationships/hyperlink" Target="https://optovikufa.ru/product/225951/radiopriemnik-portativnyy-waxiba-xb-772bt/" TargetMode="External"/><Relationship Id="rId_hyperlink_2164" Type="http://schemas.openxmlformats.org/officeDocument/2006/relationships/hyperlink" Target="https://optovikufa.ru/product/230627/radiopriemnik-portativnyy-xbsontec-xb-1525urt/" TargetMode="External"/><Relationship Id="rId_hyperlink_2165" Type="http://schemas.openxmlformats.org/officeDocument/2006/relationships/hyperlink" Target="https://optovikufa.ru/product/233310/radiopriemnik-portativnyy-xbsontec-xb-1780urt/" TargetMode="External"/><Relationship Id="rId_hyperlink_2166" Type="http://schemas.openxmlformats.org/officeDocument/2006/relationships/hyperlink" Target="https://optovikufa.ru/product/235690/antenna-dlya-racii-sma-f-teleskopicheskaya-14-40-sm/" TargetMode="External"/><Relationship Id="rId_hyperlink_2167" Type="http://schemas.openxmlformats.org/officeDocument/2006/relationships/hyperlink" Target="https://optovikufa.ru/product/241319/antenna-dlya-racii-sma-female-dlina-38sm-144437mhz-ot-rck08/" TargetMode="External"/><Relationship Id="rId_hyperlink_2168" Type="http://schemas.openxmlformats.org/officeDocument/2006/relationships/hyperlink" Target="https://optovikufa.ru/product/231749/antenna-dlya-racii-sma-female-usilenie-3db-dlina-14sm-400470mhz/" TargetMode="External"/><Relationship Id="rId_hyperlink_2169" Type="http://schemas.openxmlformats.org/officeDocument/2006/relationships/hyperlink" Target="https://optovikufa.ru/product/240436/raciya-baofeng-uv-10r-136-174400-520mgc-vhfuhf/" TargetMode="External"/><Relationship Id="rId_hyperlink_2170" Type="http://schemas.openxmlformats.org/officeDocument/2006/relationships/hyperlink" Target="https://optovikufa.ru/product/240437/raciya-baofeng-uv-16-plus-136-174400-520mgc-vhfuhf/" TargetMode="External"/><Relationship Id="rId_hyperlink_2171" Type="http://schemas.openxmlformats.org/officeDocument/2006/relationships/hyperlink" Target="https://optovikufa.ru/product/167863/raciya-baofeng-uv-5r-5vt-136-174400-520mgc-vhfuhf-128-kanalov/" TargetMode="External"/><Relationship Id="rId_hyperlink_2172" Type="http://schemas.openxmlformats.org/officeDocument/2006/relationships/hyperlink" Target="https://optovikufa.ru/product/240379/raciya-baofeng-uv-5r-5vt-136-174400-520mgc-vhfuhf-128-kanalov-komuflyazh/" TargetMode="External"/><Relationship Id="rId_hyperlink_2173" Type="http://schemas.openxmlformats.org/officeDocument/2006/relationships/hyperlink" Target="https://optovikufa.ru/product/128812/raciya-baofeng-bf-666s-5vt-400-470mgc-uhf/" TargetMode="External"/><Relationship Id="rId_hyperlink_2174" Type="http://schemas.openxmlformats.org/officeDocument/2006/relationships/hyperlink" Target="https://optovikufa.ru/product/128813/raciya-baofeng-bf-777s-5vt-400-470mgc-uhf/" TargetMode="External"/><Relationship Id="rId_hyperlink_2175" Type="http://schemas.openxmlformats.org/officeDocument/2006/relationships/hyperlink" Target="https://optovikufa.ru/product/235895/raciya-baofeng-bf-800s-5vt-400-470mgc-uhf/" TargetMode="External"/><Relationship Id="rId_hyperlink_2176" Type="http://schemas.openxmlformats.org/officeDocument/2006/relationships/hyperlink" Target="https://optovikufa.ru/product/129884/raciya-baofeng-bf-888s-5vt-400-470mgc-uhf/" TargetMode="External"/><Relationship Id="rId_hyperlink_2177" Type="http://schemas.openxmlformats.org/officeDocument/2006/relationships/hyperlink" Target="https://optovikufa.ru/product/161178/raciya-baofeng-bf-999s-5vt-400-470mgc-uhf/" TargetMode="External"/><Relationship Id="rId_hyperlink_2178" Type="http://schemas.openxmlformats.org/officeDocument/2006/relationships/hyperlink" Target="https://optovikufa.ru/product/160573/raciya-baofeng-bf-t1-1vt-400-470mgc-uhf/" TargetMode="External"/><Relationship Id="rId_hyperlink_2179" Type="http://schemas.openxmlformats.org/officeDocument/2006/relationships/hyperlink" Target="https://optovikufa.ru/product/234745/raciya-baofeng-t-388-cvetnaya-2sht/" TargetMode="External"/><Relationship Id="rId_hyperlink_2180" Type="http://schemas.openxmlformats.org/officeDocument/2006/relationships/hyperlink" Target="https://optovikufa.ru/product/161179/raciya-baofeng-uv-8d-uhf/" TargetMode="External"/><Relationship Id="rId_hyperlink_2181" Type="http://schemas.openxmlformats.org/officeDocument/2006/relationships/hyperlink" Target="https://optovikufa.ru/product/136003/raciya-t-388-uhf-2sht-do-3km-ot-rcr04/" TargetMode="External"/><Relationship Id="rId_hyperlink_2182" Type="http://schemas.openxmlformats.org/officeDocument/2006/relationships/hyperlink" Target="https://optovikufa.ru/product/174236/mulyazh-videokamery-kupolnoy-1led-migaet-pitanie-2aaa/" TargetMode="External"/><Relationship Id="rId_hyperlink_2183" Type="http://schemas.openxmlformats.org/officeDocument/2006/relationships/hyperlink" Target="https://optovikufa.ru/product/225943/mulyazh-videokamery-1-krasnyy-led-migaet-belyy/" TargetMode="External"/><Relationship Id="rId_hyperlink_2184" Type="http://schemas.openxmlformats.org/officeDocument/2006/relationships/hyperlink" Target="https://optovikufa.ru/product/225944/mulyazh-videokamery-1-krasnyy-led-migaet-pitanie-3aaa-belyy/" TargetMode="External"/><Relationship Id="rId_hyperlink_2185" Type="http://schemas.openxmlformats.org/officeDocument/2006/relationships/hyperlink" Target="https://optovikufa.ru/product/174237/mulyazh-videokamery-1led-migaet-pitanie-2aaa/" TargetMode="External"/><Relationship Id="rId_hyperlink_2186" Type="http://schemas.openxmlformats.org/officeDocument/2006/relationships/hyperlink" Target="https://optovikufa.ru/product/235215/mulyazh-videokamery-ot-vnp34/" TargetMode="External"/><Relationship Id="rId_hyperlink_2187" Type="http://schemas.openxmlformats.org/officeDocument/2006/relationships/hyperlink" Target="https://optovikufa.ru/product/174397/mulyazh-videokamery-kupolnaya-1-krasnyy-led-migaet-pitanie-3aa/" TargetMode="External"/><Relationship Id="rId_hyperlink_2188" Type="http://schemas.openxmlformats.org/officeDocument/2006/relationships/hyperlink" Target="https://optovikufa.ru/product/174235/mulyazh-videokamery-kupolnaya-1led-migaet-pitanie-2aa/" TargetMode="External"/><Relationship Id="rId_hyperlink_2189" Type="http://schemas.openxmlformats.org/officeDocument/2006/relationships/hyperlink" Target="https://optovikufa.ru/product/174239/mulyazh-videokamery-kupolnaya-1led-migaet-pitanie-2aa/" TargetMode="External"/><Relationship Id="rId_hyperlink_2190" Type="http://schemas.openxmlformats.org/officeDocument/2006/relationships/hyperlink" Target="https://optovikufa.ru/product/225245/mulyazh-videokamery-solnechnaya-panel-1-krasnyy-led-migaet-serebro/" TargetMode="External"/><Relationship Id="rId_hyperlink_2191" Type="http://schemas.openxmlformats.org/officeDocument/2006/relationships/hyperlink" Target="https://optovikufa.ru/product/225246/mulyazh-videokamery-solnechnaya-panel-1-krasnyy-led-migaet-chernyy/" TargetMode="External"/><Relationship Id="rId_hyperlink_2192" Type="http://schemas.openxmlformats.org/officeDocument/2006/relationships/hyperlink" Target="https://optovikufa.ru/product/167920/antenna-komnatnaya-teleskopicheskaya-mvdmv-rgb-618-tech-1063/" TargetMode="External"/><Relationship Id="rId_hyperlink_2193" Type="http://schemas.openxmlformats.org/officeDocument/2006/relationships/hyperlink" Target="https://optovikufa.ru/product/170155/antenna-komnatnaya-aktivnaya-dvb-t-i-dmvmv-signal-sai-119-koef-usilenie-24-28-db/" TargetMode="External"/><Relationship Id="rId_hyperlink_2194" Type="http://schemas.openxmlformats.org/officeDocument/2006/relationships/hyperlink" Target="https://optovikufa.ru/product/170149/antenna-komnatnaya-aktivnaya-dvb-t-i-dmvmv-signal-sai-208-koef-usilenie-10-20-db/" TargetMode="External"/><Relationship Id="rId_hyperlink_2195" Type="http://schemas.openxmlformats.org/officeDocument/2006/relationships/hyperlink" Target="https://optovikufa.ru/product/221085/antenna-komnatnaya-aktivnaya-dvb-t-i-dmvmv-signal-sai-213-koef-usilenie-14-25-db/" TargetMode="External"/><Relationship Id="rId_hyperlink_2196" Type="http://schemas.openxmlformats.org/officeDocument/2006/relationships/hyperlink" Target="https://optovikufa.ru/product/170150/antenna-komnatnaya-aktivnaya-dvb-t-i-dmvmv-signal-sai-304-koef-usilenie-10-20-db/" TargetMode="External"/><Relationship Id="rId_hyperlink_2197" Type="http://schemas.openxmlformats.org/officeDocument/2006/relationships/hyperlink" Target="https://optovikufa.ru/product/170152/antenna-komnatnaya-aktivnaya-dvb-t-i-dmvmv-signal-sai-615-koef-usilenie-18-32-db/" TargetMode="External"/><Relationship Id="rId_hyperlink_2198" Type="http://schemas.openxmlformats.org/officeDocument/2006/relationships/hyperlink" Target="https://optovikufa.ru/product/239245/antenna-komnatnaya-pasivnaya-dmv-i-dvb-t-signal-spi-120/" TargetMode="External"/><Relationship Id="rId_hyperlink_2199" Type="http://schemas.openxmlformats.org/officeDocument/2006/relationships/hyperlink" Target="https://optovikufa.ru/product/239249/antenna-efir-se-878-komnatnaya-dmvmv-usy-aktivnaya/" TargetMode="External"/><Relationship Id="rId_hyperlink_2200" Type="http://schemas.openxmlformats.org/officeDocument/2006/relationships/hyperlink" Target="https://optovikufa.ru/product/241060/antenna-naruzhnaya-dvs-street-20-5v-aktivnaya/" TargetMode="External"/><Relationship Id="rId_hyperlink_2201" Type="http://schemas.openxmlformats.org/officeDocument/2006/relationships/hyperlink" Target="https://optovikufa.ru/product/241740/antenna-naruzhnaya-dlya-cifrovogo-tv-eurosky-es-003-23db-aktivnaya/" TargetMode="External"/><Relationship Id="rId_hyperlink_2202" Type="http://schemas.openxmlformats.org/officeDocument/2006/relationships/hyperlink" Target="https://optovikufa.ru/product/241770/antenna-naruzhnaya-dlya-cifrovogo-tv-alfa-h111-a1-dvb-t-5v-aktivnaya/" TargetMode="External"/><Relationship Id="rId_hyperlink_2203" Type="http://schemas.openxmlformats.org/officeDocument/2006/relationships/hyperlink" Target="https://optovikufa.ru/product/125261/antenna-naruzhnaya-dmv-zenit-14af-l-01144-d-aktivnaya-usilenie-17-19-db-locus/" TargetMode="External"/><Relationship Id="rId_hyperlink_2204" Type="http://schemas.openxmlformats.org/officeDocument/2006/relationships/hyperlink" Target="https://optovikufa.ru/product/170160/antenna-naruzhnaya-dmv-zenit-20af-l-01120d-aktivnaya-usilenie-18-20-db-locus/" TargetMode="External"/><Relationship Id="rId_hyperlink_2205" Type="http://schemas.openxmlformats.org/officeDocument/2006/relationships/hyperlink" Target="https://optovikufa.ru/product/223466/antenna-naruzhnaya-dmv-meridian-12-af-turbo-l-02512-dt-aktivnaya-usilenie-29-35-db-locus/" TargetMode="External"/><Relationship Id="rId_hyperlink_2206" Type="http://schemas.openxmlformats.org/officeDocument/2006/relationships/hyperlink" Target="https://optovikufa.ru/product/220949/antenna-naruzhnaya-dmv-efir-18-af-turbo-l-03518-dt-aktivnaya-usilenie-27-30-db-locus/" TargetMode="External"/><Relationship Id="rId_hyperlink_2207" Type="http://schemas.openxmlformats.org/officeDocument/2006/relationships/hyperlink" Target="https://optovikufa.ru/product/223404/antenna-naruzhnaya-dmv-efir-18-f-l-03118-d-passivnaya-usilenie-75-13-db-locus/" TargetMode="External"/><Relationship Id="rId_hyperlink_2208" Type="http://schemas.openxmlformats.org/officeDocument/2006/relationships/hyperlink" Target="https://optovikufa.ru/product/239841/kronshteyn-antennyy-04-m/" TargetMode="External"/><Relationship Id="rId_hyperlink_2209" Type="http://schemas.openxmlformats.org/officeDocument/2006/relationships/hyperlink" Target="https://optovikufa.ru/product/229061/kronshteyn-antennyy-300mm-vynosnoy/" TargetMode="External"/><Relationship Id="rId_hyperlink_2210" Type="http://schemas.openxmlformats.org/officeDocument/2006/relationships/hyperlink" Target="https://optovikufa.ru/product/122471/splitter-delitel-tv-h-2-f-razem-5-1000mgc-cn-7071a/" TargetMode="External"/><Relationship Id="rId_hyperlink_2211" Type="http://schemas.openxmlformats.org/officeDocument/2006/relationships/hyperlink" Target="https://optovikufa.ru/product/176822/splitter-delitel-tv-h-2-f-razem-5-2050-mgc-cn-7071b/" TargetMode="External"/><Relationship Id="rId_hyperlink_2212" Type="http://schemas.openxmlformats.org/officeDocument/2006/relationships/hyperlink" Target="https://optovikufa.ru/product/169056/splitter-delitel-tv-h-2-f-razem-5-2050mgc-signal/" TargetMode="External"/><Relationship Id="rId_hyperlink_2213" Type="http://schemas.openxmlformats.org/officeDocument/2006/relationships/hyperlink" Target="https://optovikufa.ru/product/127209/splitter-delitel-tv-h-2-f-razem-5-900mhz-cn-7067/" TargetMode="External"/><Relationship Id="rId_hyperlink_2214" Type="http://schemas.openxmlformats.org/officeDocument/2006/relationships/hyperlink" Target="https://optovikufa.ru/product/242275/splitter-delitel-tv-h-2-f-razem-energy-power/" TargetMode="External"/><Relationship Id="rId_hyperlink_2215" Type="http://schemas.openxmlformats.org/officeDocument/2006/relationships/hyperlink" Target="https://optovikufa.ru/product/149932/splitter-delitel-tv-h-3-f-razem-5-1000mgc-cm-7072a/" TargetMode="External"/><Relationship Id="rId_hyperlink_2216" Type="http://schemas.openxmlformats.org/officeDocument/2006/relationships/hyperlink" Target="https://optovikufa.ru/product/242276/splitter-delitel-tv-h-3-f-razem-energy-power/" TargetMode="External"/><Relationship Id="rId_hyperlink_2217" Type="http://schemas.openxmlformats.org/officeDocument/2006/relationships/hyperlink" Target="https://optovikufa.ru/product/136208/splitter-delitel-tv-h-4-f-razem-5-1000mgc-cn-7073a/" TargetMode="External"/><Relationship Id="rId_hyperlink_2218" Type="http://schemas.openxmlformats.org/officeDocument/2006/relationships/hyperlink" Target="https://optovikufa.ru/product/129822/splitter-delitel-tv-h-8-f-razem-5-2050-mgc-cn-7075b/" TargetMode="External"/><Relationship Id="rId_hyperlink_2219" Type="http://schemas.openxmlformats.org/officeDocument/2006/relationships/hyperlink" Target="https://optovikufa.ru/product/224236/kabel-antennyy-smartbuy-m-f-k-tv235-50-5m/" TargetMode="External"/><Relationship Id="rId_hyperlink_2220" Type="http://schemas.openxmlformats.org/officeDocument/2006/relationships/hyperlink" Target="https://optovikufa.ru/product/224237/kabel-antennyy-smartbuy-m-f-uglovoy-razem-k-tv121-18m/" TargetMode="External"/><Relationship Id="rId_hyperlink_2221" Type="http://schemas.openxmlformats.org/officeDocument/2006/relationships/hyperlink" Target="https://optovikufa.ru/product/224238/kabel-antennyy-smartbuy-m-f-uglovoy-razem-k-tv123-3m/" TargetMode="External"/><Relationship Id="rId_hyperlink_2222" Type="http://schemas.openxmlformats.org/officeDocument/2006/relationships/hyperlink" Target="https://optovikufa.ru/product/224239/kabel-antennyy-smartbuy-m-f-uglovoy-razem-k-tv125-5m/" TargetMode="External"/><Relationship Id="rId_hyperlink_2223" Type="http://schemas.openxmlformats.org/officeDocument/2006/relationships/hyperlink" Target="https://optovikufa.ru/product/224232/kabel-antennyy-smartbuy-m-m-pryamoy-razem-k-tv111-18m/" TargetMode="External"/><Relationship Id="rId_hyperlink_2224" Type="http://schemas.openxmlformats.org/officeDocument/2006/relationships/hyperlink" Target="https://optovikufa.ru/product/224233/kabel-antennyy-smartbuy-m-m-uglovoy-razem-k-tv113-3m/" TargetMode="External"/><Relationship Id="rId_hyperlink_2225" Type="http://schemas.openxmlformats.org/officeDocument/2006/relationships/hyperlink" Target="https://optovikufa.ru/product/224234/kabel-antennyy-smartbuy-m-m-uglovoy-razem-k-tv115-5m/" TargetMode="External"/><Relationship Id="rId_hyperlink_2226" Type="http://schemas.openxmlformats.org/officeDocument/2006/relationships/hyperlink" Target="https://optovikufa.ru/product/141646/kabel-vysokochastotnyy-antennyy-shteker-gnezdo-15m-chernyy-dzhett/" TargetMode="External"/><Relationship Id="rId_hyperlink_2227" Type="http://schemas.openxmlformats.org/officeDocument/2006/relationships/hyperlink" Target="https://optovikufa.ru/product/138208/f-razem-rg-6/" TargetMode="External"/><Relationship Id="rId_hyperlink_2228" Type="http://schemas.openxmlformats.org/officeDocument/2006/relationships/hyperlink" Target="https://optovikufa.ru/product/240380/f-razem-rg-6-f-18-belyy-upakovka-100sht-ep/" TargetMode="External"/><Relationship Id="rId_hyperlink_2229" Type="http://schemas.openxmlformats.org/officeDocument/2006/relationships/hyperlink" Target="https://optovikufa.ru/product/240381/f-razem-rg-6-f-22-uplotnitelnoe-kolco-chernyy-100/" TargetMode="External"/><Relationship Id="rId_hyperlink_2230" Type="http://schemas.openxmlformats.org/officeDocument/2006/relationships/hyperlink" Target="https://optovikufa.ru/product/158977/f-razem-rg-6-proconnect-05-4003-4/" TargetMode="External"/><Relationship Id="rId_hyperlink_2231" Type="http://schemas.openxmlformats.org/officeDocument/2006/relationships/hyperlink" Target="https://optovikufa.ru/product/230035/f-razem-rg-6-dzhett-rg-6-20mm-d787mm-upakovka-50sht/" TargetMode="External"/><Relationship Id="rId_hyperlink_2232" Type="http://schemas.openxmlformats.org/officeDocument/2006/relationships/hyperlink" Target="https://optovikufa.ru/product/230316/f-razem-rg-6-dzhett-upakovka-50/" TargetMode="External"/><Relationship Id="rId_hyperlink_2233" Type="http://schemas.openxmlformats.org/officeDocument/2006/relationships/hyperlink" Target="https://optovikufa.ru/product/129331/perehodnik-gnezdo-f-2-gnezda-f-troynik/" TargetMode="External"/><Relationship Id="rId_hyperlink_2234" Type="http://schemas.openxmlformats.org/officeDocument/2006/relationships/hyperlink" Target="https://optovikufa.ru/product/236590/perehodnik-gnezdo-f-3-gnezda-f-krest/" TargetMode="External"/><Relationship Id="rId_hyperlink_2235" Type="http://schemas.openxmlformats.org/officeDocument/2006/relationships/hyperlink" Target="https://optovikufa.ru/product/137266/perehodnik-gnezdo-f-gnezdo-f-bochka-dzhett-cn-7115b/" TargetMode="External"/><Relationship Id="rId_hyperlink_2236" Type="http://schemas.openxmlformats.org/officeDocument/2006/relationships/hyperlink" Target="https://optovikufa.ru/product/145017/perehodnik-gnezdo-f-gnezdo-tv-antennoe-dzhett/" TargetMode="External"/><Relationship Id="rId_hyperlink_2237" Type="http://schemas.openxmlformats.org/officeDocument/2006/relationships/hyperlink" Target="https://optovikufa.ru/product/176813/perehodnik-gnezdo-f-gnezdo-tv-antennoe-uglovoe/" TargetMode="External"/><Relationship Id="rId_hyperlink_2238" Type="http://schemas.openxmlformats.org/officeDocument/2006/relationships/hyperlink" Target="https://optovikufa.ru/product/191123/perehodnik-gnezdo-f-shteker-rca-cn-7119/" TargetMode="External"/><Relationship Id="rId_hyperlink_2239" Type="http://schemas.openxmlformats.org/officeDocument/2006/relationships/hyperlink" Target="https://optovikufa.ru/product/229981/perehodnik-gnezdo-f-shteker-tv-antennyy/" TargetMode="External"/><Relationship Id="rId_hyperlink_2240" Type="http://schemas.openxmlformats.org/officeDocument/2006/relationships/hyperlink" Target="https://optovikufa.ru/product/191125/perehodnik-gnezdo-f-shteker-tv-antennyy-uglovoy/" TargetMode="External"/><Relationship Id="rId_hyperlink_2241" Type="http://schemas.openxmlformats.org/officeDocument/2006/relationships/hyperlink" Target="https://optovikufa.ru/product/191129/perehodnik-shteker-f-gnezdo-tv-antennoe/" TargetMode="External"/><Relationship Id="rId_hyperlink_2242" Type="http://schemas.openxmlformats.org/officeDocument/2006/relationships/hyperlink" Target="https://optovikufa.ru/product/235722/shteker-antennyy-nikel-s-pruzhinoy-03-151n/" TargetMode="External"/><Relationship Id="rId_hyperlink_2243" Type="http://schemas.openxmlformats.org/officeDocument/2006/relationships/hyperlink" Target="https://optovikufa.ru/product/177699/blok-pitaniya-antenny-12v-1a-bez-regulyatora/" TargetMode="External"/><Relationship Id="rId_hyperlink_2244" Type="http://schemas.openxmlformats.org/officeDocument/2006/relationships/hyperlink" Target="https://optovikufa.ru/product/242502/blok-pitaniya-antenny-12v-1a-bez-regulyatora/" TargetMode="External"/><Relationship Id="rId_hyperlink_2245" Type="http://schemas.openxmlformats.org/officeDocument/2006/relationships/hyperlink" Target="https://optovikufa.ru/product/234368/blok-pitaniya-antennyy-12v-01a-shteker-tv-s-f-razemom/" TargetMode="External"/><Relationship Id="rId_hyperlink_2246" Type="http://schemas.openxmlformats.org/officeDocument/2006/relationships/hyperlink" Target="https://optovikufa.ru/product/177698/blok-pitaniya-antennyy-12v-01a-shteker-tv-s-regulyatorom/" TargetMode="External"/><Relationship Id="rId_hyperlink_2247" Type="http://schemas.openxmlformats.org/officeDocument/2006/relationships/hyperlink" Target="https://optovikufa.ru/product/239813/inzhektor-pitaniya-usb-dlya-aktivnyh-antenn-ant01/" TargetMode="External"/><Relationship Id="rId_hyperlink_2248" Type="http://schemas.openxmlformats.org/officeDocument/2006/relationships/hyperlink" Target="https://optovikufa.ru/product/239814/inzhektor-pitaniya-usb-dlya-aktivnyh-antenn-indikator-pitaniya-antennyy-provod-200mm-ant02/" TargetMode="External"/><Relationship Id="rId_hyperlink_2249" Type="http://schemas.openxmlformats.org/officeDocument/2006/relationships/hyperlink" Target="https://optovikufa.ru/product/240398/inzhektor-pitaniya-usb-dlya-aktivnyh-antenn-indikator-pitaniya-antennyy-provod-500mm/" TargetMode="External"/><Relationship Id="rId_hyperlink_2250" Type="http://schemas.openxmlformats.org/officeDocument/2006/relationships/hyperlink" Target="https://optovikufa.ru/product/122314/usilitel-antennyy-swa-555-usilenie-28-34db-shumy-22db-50-100km/" TargetMode="External"/><Relationship Id="rId_hyperlink_2251" Type="http://schemas.openxmlformats.org/officeDocument/2006/relationships/hyperlink" Target="https://optovikufa.ru/product/229481/usilitel-antennyy-swa-5555/" TargetMode="External"/><Relationship Id="rId_hyperlink_2252" Type="http://schemas.openxmlformats.org/officeDocument/2006/relationships/hyperlink" Target="https://optovikufa.ru/product/122315/usilitel-antennyy-swa-777-usilenie-37db-shumy-17db-70-130km/" TargetMode="External"/><Relationship Id="rId_hyperlink_2253" Type="http://schemas.openxmlformats.org/officeDocument/2006/relationships/hyperlink" Target="https://optovikufa.ru/product/126877/usilitel-antennyy-swa-9000/" TargetMode="External"/><Relationship Id="rId_hyperlink_2254" Type="http://schemas.openxmlformats.org/officeDocument/2006/relationships/hyperlink" Target="https://optovikufa.ru/product/167715/pristavka-dlya-cifrovogo-tv-resiver-dvb-t2-openbox-dvb-009-wi-fi/" TargetMode="External"/><Relationship Id="rId_hyperlink_2255" Type="http://schemas.openxmlformats.org/officeDocument/2006/relationships/hyperlink" Target="https://optovikufa.ru/product/218110/pristavka-dlya-cifrovogo-tv-resiver-dvb-t2-super-beko-t8000-wi-fi/" TargetMode="External"/><Relationship Id="rId_hyperlink_2256" Type="http://schemas.openxmlformats.org/officeDocument/2006/relationships/hyperlink" Target="https://optovikufa.ru/product/233627/pristavka-dlya-cifrovogo-tv-resiver-dvb-t2-interaktiv-t100/" TargetMode="External"/><Relationship Id="rId_hyperlink_2257" Type="http://schemas.openxmlformats.org/officeDocument/2006/relationships/hyperlink" Target="https://optovikufa.ru/product/240502/pristavka-dlya-cifrovogo-tv-resiver-orbita-hd-999c/" TargetMode="External"/><Relationship Id="rId_hyperlink_2258" Type="http://schemas.openxmlformats.org/officeDocument/2006/relationships/hyperlink" Target="https://optovikufa.ru/product/176975/pristavka-dlya-cifrovogo-tv-resiver-orbita-hd999-169-dvb-t2t-hdmi-usb-20-mpeg-124-vc-1-h264-teletekst-subtitry-hd-pleer-1080i-20/" TargetMode="External"/><Relationship Id="rId_hyperlink_2259" Type="http://schemas.openxmlformats.org/officeDocument/2006/relationships/hyperlink" Target="https://optovikufa.ru/product/241938/manikyurnyy-nabor-mrd-0157-15-predmetov-kozhanyy-futlyar-moskvich/" TargetMode="External"/><Relationship Id="rId_hyperlink_2260" Type="http://schemas.openxmlformats.org/officeDocument/2006/relationships/hyperlink" Target="https://optovikufa.ru/product/241939/manikyurnyy-nabor-mrd-0159-15-predmetov-kozhanyy-futlyar-moskvich/" TargetMode="External"/><Relationship Id="rId_hyperlink_2261" Type="http://schemas.openxmlformats.org/officeDocument/2006/relationships/hyperlink" Target="https://optovikufa.ru/product/230606/manikyurnyy-nabor-zy-881-8-predmetov-kozhanyy-futlyar-moskvich/" TargetMode="External"/><Relationship Id="rId_hyperlink_2262" Type="http://schemas.openxmlformats.org/officeDocument/2006/relationships/hyperlink" Target="https://optovikufa.ru/product/230607/manikyurnyy-nabor-zy-882-15-predmetov-kozhanyy-futlyar/" TargetMode="External"/><Relationship Id="rId_hyperlink_2263" Type="http://schemas.openxmlformats.org/officeDocument/2006/relationships/hyperlink" Target="https://optovikufa.ru/product/230609/manikyurnyy-nabor-zy-884-12-predmetov-kozhanyy-futlyar/" TargetMode="External"/><Relationship Id="rId_hyperlink_2264" Type="http://schemas.openxmlformats.org/officeDocument/2006/relationships/hyperlink" Target="https://optovikufa.ru/product/230611/manikyurnyy-nabor-zy-887-7-predmetov-kozhanyy-futlyar-moskvich/" TargetMode="External"/><Relationship Id="rId_hyperlink_2265" Type="http://schemas.openxmlformats.org/officeDocument/2006/relationships/hyperlink" Target="https://optovikufa.ru/product/230612/manikyurnyy-nabor-zy-888-10-predmetov-kozhanyy-futlyar-moskvich/" TargetMode="External"/><Relationship Id="rId_hyperlink_2266" Type="http://schemas.openxmlformats.org/officeDocument/2006/relationships/hyperlink" Target="https://optovikufa.ru/product/230182/schipchiki-knipser-dlya-nogtey-ad-602-upak-3sht/" TargetMode="External"/><Relationship Id="rId_hyperlink_2267" Type="http://schemas.openxmlformats.org/officeDocument/2006/relationships/hyperlink" Target="https://optovikufa.ru/product/233272/mashinka-dlya-strizhki-volos-geemy-gm-6028/" TargetMode="External"/><Relationship Id="rId_hyperlink_2268" Type="http://schemas.openxmlformats.org/officeDocument/2006/relationships/hyperlink" Target="https://optovikufa.ru/product/238941/mashinka-dlya-strizhki-volos-geemy-gm-6113/" TargetMode="External"/><Relationship Id="rId_hyperlink_2269" Type="http://schemas.openxmlformats.org/officeDocument/2006/relationships/hyperlink" Target="https://optovikufa.ru/product/235111/mashinka-dlya-strizhki-volos-ns-216/" TargetMode="External"/><Relationship Id="rId_hyperlink_2270" Type="http://schemas.openxmlformats.org/officeDocument/2006/relationships/hyperlink" Target="https://optovikufa.ru/product/223133/mashinka-dlya-strizhki-volos-vgr-v-030/" TargetMode="External"/><Relationship Id="rId_hyperlink_2271" Type="http://schemas.openxmlformats.org/officeDocument/2006/relationships/hyperlink" Target="https://optovikufa.ru/product/243013/mashinka-dlya-strizhki-volos-vgr-v-070/" TargetMode="External"/><Relationship Id="rId_hyperlink_2272" Type="http://schemas.openxmlformats.org/officeDocument/2006/relationships/hyperlink" Target="https://optovikufa.ru/product/233328/mashinka-dlya-strizhki-volos-vgr-v-071/" TargetMode="External"/><Relationship Id="rId_hyperlink_2273" Type="http://schemas.openxmlformats.org/officeDocument/2006/relationships/hyperlink" Target="https://optovikufa.ru/product/243020/mashinka-dlya-strizhki-volos-vgr-v-965/" TargetMode="External"/><Relationship Id="rId_hyperlink_2274" Type="http://schemas.openxmlformats.org/officeDocument/2006/relationships/hyperlink" Target="https://optovikufa.ru/product/240906/mashinka-dlya-strizhki-volos-vgr-v-982/" TargetMode="External"/><Relationship Id="rId_hyperlink_2275" Type="http://schemas.openxmlformats.org/officeDocument/2006/relationships/hyperlink" Target="https://optovikufa.ru/product/242122/mashinka-dlya-strizhki-trimmer-geemy-gm-573-3v1/" TargetMode="External"/><Relationship Id="rId_hyperlink_2276" Type="http://schemas.openxmlformats.org/officeDocument/2006/relationships/hyperlink" Target="https://optovikufa.ru/product/238963/mashinka-dlya-strizhki-trimmer-geemy-gm-683/" TargetMode="External"/><Relationship Id="rId_hyperlink_2277" Type="http://schemas.openxmlformats.org/officeDocument/2006/relationships/hyperlink" Target="https://optovikufa.ru/product/225157/trimmer-geemy-gm-3105/" TargetMode="External"/><Relationship Id="rId_hyperlink_2278" Type="http://schemas.openxmlformats.org/officeDocument/2006/relationships/hyperlink" Target="https://optovikufa.ru/product/227957/trimmer-geemy-gm-769/" TargetMode="External"/><Relationship Id="rId_hyperlink_2279" Type="http://schemas.openxmlformats.org/officeDocument/2006/relationships/hyperlink" Target="https://optovikufa.ru/product/227958/trimmer-britva-4v1geemy-gm-3116/" TargetMode="External"/><Relationship Id="rId_hyperlink_2280" Type="http://schemas.openxmlformats.org/officeDocument/2006/relationships/hyperlink" Target="https://optovikufa.ru/product/237839/fen-fa-kang-fk-9900/" TargetMode="External"/><Relationship Id="rId_hyperlink_2281" Type="http://schemas.openxmlformats.org/officeDocument/2006/relationships/hyperlink" Target="https://optovikufa.ru/product/226603/fen-moser-9939/" TargetMode="External"/><Relationship Id="rId_hyperlink_2282" Type="http://schemas.openxmlformats.org/officeDocument/2006/relationships/hyperlink" Target="https://optovikufa.ru/product/234198/schipcy-gofre-afkas-nova-g671/" TargetMode="External"/><Relationship Id="rId_hyperlink_2283" Type="http://schemas.openxmlformats.org/officeDocument/2006/relationships/hyperlink" Target="https://optovikufa.ru/product/234866/schipcy-gofre-sonar-sn-8091/" TargetMode="External"/><Relationship Id="rId_hyperlink_2284" Type="http://schemas.openxmlformats.org/officeDocument/2006/relationships/hyperlink" Target="https://optovikufa.ru/product/241264/schipcy-gofre-dlya-volos-mrm-381/" TargetMode="External"/><Relationship Id="rId_hyperlink_2285" Type="http://schemas.openxmlformats.org/officeDocument/2006/relationships/hyperlink" Target="https://optovikufa.ru/product/226637/ployka-curling-wand-st-2218/" TargetMode="External"/><Relationship Id="rId_hyperlink_2286" Type="http://schemas.openxmlformats.org/officeDocument/2006/relationships/hyperlink" Target="https://optovikufa.ru/product/235682/ployka-promozer-mz-6630/" TargetMode="External"/><Relationship Id="rId_hyperlink_2287" Type="http://schemas.openxmlformats.org/officeDocument/2006/relationships/hyperlink" Target="https://optovikufa.ru/product/234865/schipcy-gofre-afkas-nova-3393/" TargetMode="External"/><Relationship Id="rId_hyperlink_2288" Type="http://schemas.openxmlformats.org/officeDocument/2006/relationships/hyperlink" Target="https://optovikufa.ru/product/243017/elektrobritva-vgr-v-319/" TargetMode="External"/><Relationship Id="rId_hyperlink_2289" Type="http://schemas.openxmlformats.org/officeDocument/2006/relationships/hyperlink" Target="https://optovikufa.ru/product/242285/elektrobritva-vgr-v-341/" TargetMode="External"/><Relationship Id="rId_hyperlink_2290" Type="http://schemas.openxmlformats.org/officeDocument/2006/relationships/hyperlink" Target="https://optovikufa.ru/product/243018/elektrobritva-vgr-v-370/" TargetMode="External"/><Relationship Id="rId_hyperlink_2291" Type="http://schemas.openxmlformats.org/officeDocument/2006/relationships/hyperlink" Target="https://optovikufa.ru/product/243019/elektrobritva-vgr-v-389/" TargetMode="External"/><Relationship Id="rId_hyperlink_2292" Type="http://schemas.openxmlformats.org/officeDocument/2006/relationships/hyperlink" Target="https://optovikufa.ru/product/124500/elektrobritva-chaobo-rscw-9200/" TargetMode="External"/><Relationship Id="rId_hyperlink_2293" Type="http://schemas.openxmlformats.org/officeDocument/2006/relationships/hyperlink" Target="https://optovikufa.ru/product/231576/elektrobritva-gemei-gm-7720/" TargetMode="External"/><Relationship Id="rId_hyperlink_2294" Type="http://schemas.openxmlformats.org/officeDocument/2006/relationships/hyperlink" Target="https://optovikufa.ru/product/235278/elektrobritva-shinon-sh-7098/" TargetMode="External"/><Relationship Id="rId_hyperlink_2295" Type="http://schemas.openxmlformats.org/officeDocument/2006/relationships/hyperlink" Target="https://optovikufa.ru/product/237840/elektrobritva-surker-sk-3007/" TargetMode="External"/><Relationship Id="rId_hyperlink_2296" Type="http://schemas.openxmlformats.org/officeDocument/2006/relationships/hyperlink" Target="https://optovikufa.ru/product/220354/elektrobritva-avitron-202a-akkumulyatornaya-dlya-suhogo-britya/" TargetMode="External"/><Relationship Id="rId_hyperlink_2297" Type="http://schemas.openxmlformats.org/officeDocument/2006/relationships/hyperlink" Target="https://optovikufa.ru/product/125751/elektrobritva-agidel-16as-akkumulyatorno-setevaya-dlya-suhogo-britya/" TargetMode="External"/><Relationship Id="rId_hyperlink_2298" Type="http://schemas.openxmlformats.org/officeDocument/2006/relationships/hyperlink" Target="https://optovikufa.ru/product/216933/elektrobritva-agidel-17as-akkumulyatorno-setevaya-dlya-suhogo-britya/" TargetMode="External"/><Relationship Id="rId_hyperlink_2299" Type="http://schemas.openxmlformats.org/officeDocument/2006/relationships/hyperlink" Target="https://optovikufa.ru/product/239765/elektrobritva-agidel-19as-akkumulyatorno-setevaya/" TargetMode="External"/><Relationship Id="rId_hyperlink_2300" Type="http://schemas.openxmlformats.org/officeDocument/2006/relationships/hyperlink" Target="https://optovikufa.ru/product/177539/elektrobritva-agidel-21-setevaya-dlya-suhogo-britya/" TargetMode="External"/><Relationship Id="rId_hyperlink_2301" Type="http://schemas.openxmlformats.org/officeDocument/2006/relationships/hyperlink" Target="https://optovikufa.ru/product/216935/elektrobritva-agidel-22a-akkumulyatornaya/" TargetMode="External"/><Relationship Id="rId_hyperlink_2302" Type="http://schemas.openxmlformats.org/officeDocument/2006/relationships/hyperlink" Target="https://optovikufa.ru/product/177540/elektrobritva-agidel-3s-setevaya-dlya-suhogo-britya/" TargetMode="External"/><Relationship Id="rId_hyperlink_2303" Type="http://schemas.openxmlformats.org/officeDocument/2006/relationships/hyperlink" Target="https://optovikufa.ru/product/220416/elektrobritva-agidel-318s-setevaya-dlya-suhogo-britya/" TargetMode="External"/><Relationship Id="rId_hyperlink_2304" Type="http://schemas.openxmlformats.org/officeDocument/2006/relationships/hyperlink" Target="https://optovikufa.ru/product/148900/ventilyator-napolnyy-energy-en-1659-40vtd40sm3-skorosti-vysota125-sm-belyy/" TargetMode="External"/><Relationship Id="rId_hyperlink_2305" Type="http://schemas.openxmlformats.org/officeDocument/2006/relationships/hyperlink" Target="https://optovikufa.ru/product/148902/ventilyator-nastolnyy-energy-en-0602-15vtd15sm2-skorosti-na-prischepke/" TargetMode="External"/><Relationship Id="rId_hyperlink_2306" Type="http://schemas.openxmlformats.org/officeDocument/2006/relationships/hyperlink" Target="https://optovikufa.ru/product/240518/obogrevatel-konvektornogo-tipa-remo-sb-10001-zebra-sdelano-v-rossii/" TargetMode="External"/><Relationship Id="rId_hyperlink_2307" Type="http://schemas.openxmlformats.org/officeDocument/2006/relationships/hyperlink" Target="https://optovikufa.ru/product/240513/obogrevatel-konvektornogo-tipa-remo-sb-10001-w-sdelano-v-rossii/" TargetMode="External"/><Relationship Id="rId_hyperlink_2308" Type="http://schemas.openxmlformats.org/officeDocument/2006/relationships/hyperlink" Target="https://optovikufa.ru/product/240521/obogrevatel-konvektornogo-tipa-remo-sb-15002-taksa-zheltyy-sdelano-v-rossii/" TargetMode="External"/><Relationship Id="rId_hyperlink_2309" Type="http://schemas.openxmlformats.org/officeDocument/2006/relationships/hyperlink" Target="https://optovikufa.ru/product/240520/obogrevatel-konvektornogo-tipa-remo-sb-15002-taksa-siniy-sdelano-v-rossii/" TargetMode="External"/><Relationship Id="rId_hyperlink_2310" Type="http://schemas.openxmlformats.org/officeDocument/2006/relationships/hyperlink" Target="https://optovikufa.ru/product/240525/obogrevatel-konvektornogo-tipa-remo-sb-15002-b-sdelano-v-rossii/" TargetMode="External"/><Relationship Id="rId_hyperlink_2311" Type="http://schemas.openxmlformats.org/officeDocument/2006/relationships/hyperlink" Target="https://optovikufa.ru/product/240524/obogrevatel-konvektornogo-tipa-remo-sb-15002-w-sdelano-v-rossii/" TargetMode="External"/><Relationship Id="rId_hyperlink_2312" Type="http://schemas.openxmlformats.org/officeDocument/2006/relationships/hyperlink" Target="https://optovikufa.ru/product/240522/obogrevatel-elektricheskiy-konvektornogo-tipa-remo-sb-20002-taksa-rozovyy/" TargetMode="External"/><Relationship Id="rId_hyperlink_2313" Type="http://schemas.openxmlformats.org/officeDocument/2006/relationships/hyperlink" Target="https://optovikufa.ru/product/240514/obogrevatel-elektricheskiy-konvektornogo-tipa-remo-sb-20002-b/" TargetMode="External"/><Relationship Id="rId_hyperlink_2314" Type="http://schemas.openxmlformats.org/officeDocument/2006/relationships/hyperlink" Target="https://optovikufa.ru/product/240515/obogrevatel-elektricheskiy-konvektornogo-tipa-remo-sb-20002-w/" TargetMode="External"/><Relationship Id="rId_hyperlink_2315" Type="http://schemas.openxmlformats.org/officeDocument/2006/relationships/hyperlink" Target="https://optovikufa.ru/product/242090/portativnyy-teploventilyator-dream-sc151-500vt-nastennyy-pult-taymer-2-skorosti/" TargetMode="External"/><Relationship Id="rId_hyperlink_2316" Type="http://schemas.openxmlformats.org/officeDocument/2006/relationships/hyperlink" Target="https://optovikufa.ru/product/126620/teploventilyator-engy-en-514-2000-vt-spiral-3-rezhima/" TargetMode="External"/><Relationship Id="rId_hyperlink_2317" Type="http://schemas.openxmlformats.org/officeDocument/2006/relationships/hyperlink" Target="https://optovikufa.ru/product/236390/teploventilyator-engy-en-521-2000-vt-spiral-2-rezhima-seryy/" TargetMode="External"/><Relationship Id="rId_hyperlink_2318" Type="http://schemas.openxmlformats.org/officeDocument/2006/relationships/hyperlink" Target="https://optovikufa.ru/product/219903/sushilka-dlya-obuvi-metallicheskaya-leben-12vt/" TargetMode="External"/><Relationship Id="rId_hyperlink_2319" Type="http://schemas.openxmlformats.org/officeDocument/2006/relationships/hyperlink" Target="https://optovikufa.ru/product/221682/sushilka-dlya-obuvi-elektricheskaya-engy-rj-45bplastik-miks-12vt-151555/" TargetMode="External"/><Relationship Id="rId_hyperlink_2320" Type="http://schemas.openxmlformats.org/officeDocument/2006/relationships/hyperlink" Target="https://optovikufa.ru/product/158662/sushilka-dlya-obuvi-elektricheskaya-engy-rj-50c-krasnaya-12vt-640414/" TargetMode="External"/><Relationship Id="rId_hyperlink_2321" Type="http://schemas.openxmlformats.org/officeDocument/2006/relationships/hyperlink" Target="https://optovikufa.ru/product/242737/sushilka-dlya-obuvi-elektricheskaya-engy-rj-55c-12vt/" TargetMode="External"/><Relationship Id="rId_hyperlink_2322" Type="http://schemas.openxmlformats.org/officeDocument/2006/relationships/hyperlink" Target="https://optovikufa.ru/product/242739/sushilka-dlya-obuvi-elektricheskaya-homestar-hs-9030-12vt/" TargetMode="External"/><Relationship Id="rId_hyperlink_2323" Type="http://schemas.openxmlformats.org/officeDocument/2006/relationships/hyperlink" Target="https://optovikufa.ru/product/239069/termometr-bannyy-ch-1-bannyy-venik-175606sm/" TargetMode="External"/><Relationship Id="rId_hyperlink_2324" Type="http://schemas.openxmlformats.org/officeDocument/2006/relationships/hyperlink" Target="https://optovikufa.ru/product/239905/termometr-bannyy-ch-2-sauna-2154705sm/" TargetMode="External"/><Relationship Id="rId_hyperlink_2325" Type="http://schemas.openxmlformats.org/officeDocument/2006/relationships/hyperlink" Target="https://optovikufa.ru/product/239070/termometr-bannyy-ch-3-banka-derevyannyy-285621sm/" TargetMode="External"/><Relationship Id="rId_hyperlink_2326" Type="http://schemas.openxmlformats.org/officeDocument/2006/relationships/hyperlink" Target="https://optovikufa.ru/product/230871/termometr-bimetallicheskiy-garin-tb-1/" TargetMode="External"/><Relationship Id="rId_hyperlink_2327" Type="http://schemas.openxmlformats.org/officeDocument/2006/relationships/hyperlink" Target="https://optovikufa.ru/product/230872/termometr-bimetallicheskiy-garin-tb-2/" TargetMode="External"/><Relationship Id="rId_hyperlink_2328" Type="http://schemas.openxmlformats.org/officeDocument/2006/relationships/hyperlink" Target="https://optovikufa.ru/product/241249/termometr-gigrometr-ch008-2256516smkitay/" TargetMode="External"/><Relationship Id="rId_hyperlink_2329" Type="http://schemas.openxmlformats.org/officeDocument/2006/relationships/hyperlink" Target="https://optovikufa.ru/product/241248/termometr-gigrometr-strelochnyy-th101-metallicheskiy-12012030-kitay/" TargetMode="External"/><Relationship Id="rId_hyperlink_2330" Type="http://schemas.openxmlformats.org/officeDocument/2006/relationships/hyperlink" Target="https://optovikufa.ru/product/241246/termometr-komnatnyy-ch075-1-derevyannyy-232461smkitay/" TargetMode="External"/><Relationship Id="rId_hyperlink_2331" Type="http://schemas.openxmlformats.org/officeDocument/2006/relationships/hyperlink" Target="https://optovikufa.ru/product/241247/termometr-komnatnyy-ch092-1-derevyannyy-232461smkitay/" TargetMode="External"/><Relationship Id="rId_hyperlink_2332" Type="http://schemas.openxmlformats.org/officeDocument/2006/relationships/hyperlink" Target="https://optovikufa.ru/product/236670/termometr-okonnyy-ch-197a-565819/" TargetMode="External"/><Relationship Id="rId_hyperlink_2333" Type="http://schemas.openxmlformats.org/officeDocument/2006/relationships/hyperlink" Target="https://optovikufa.ru/product/226394/termometr-okonnyy-ch-207-bimetallicheskiy-kvadratnyy-na-lipuchkah-757523sm/" TargetMode="External"/><Relationship Id="rId_hyperlink_2334" Type="http://schemas.openxmlformats.org/officeDocument/2006/relationships/hyperlink" Target="https://optovikufa.ru/product/237793/termometr-okonnyy-ch3000-na-lipuchke-20x4x2sm/" TargetMode="External"/><Relationship Id="rId_hyperlink_2335" Type="http://schemas.openxmlformats.org/officeDocument/2006/relationships/hyperlink" Target="https://optovikufa.ru/product/237791/termometr-okonnyy-ch3004-na-lipuchke-205x3x17sm/" TargetMode="External"/><Relationship Id="rId_hyperlink_2336" Type="http://schemas.openxmlformats.org/officeDocument/2006/relationships/hyperlink" Target="https://optovikufa.ru/product/239073/termometr-okonnyy-ch3009-standart-50-50-na-lipuchke-205317sm/" TargetMode="External"/><Relationship Id="rId_hyperlink_2337" Type="http://schemas.openxmlformats.org/officeDocument/2006/relationships/hyperlink" Target="https://optovikufa.ru/product/241250/termometr-okonnyy-cy128-vosmiugolnyy-757515smkitay/" TargetMode="External"/><Relationship Id="rId_hyperlink_2338" Type="http://schemas.openxmlformats.org/officeDocument/2006/relationships/hyperlink" Target="https://optovikufa.ru/product/241251/termometr-okonnyy-cy129-vosmiugolnyy-na-lipuchke-757515smkitay/" TargetMode="External"/><Relationship Id="rId_hyperlink_2339" Type="http://schemas.openxmlformats.org/officeDocument/2006/relationships/hyperlink" Target="https://optovikufa.ru/product/238958/termometr-okonnyy-na-lipuchke-ch-090-1/" TargetMode="External"/><Relationship Id="rId_hyperlink_2340" Type="http://schemas.openxmlformats.org/officeDocument/2006/relationships/hyperlink" Target="https://optovikufa.ru/product/236669/termometr-okonnyy-na-kryuchke-bimetallicheskiy-kruglyy-cy-22-7507/" TargetMode="External"/><Relationship Id="rId_hyperlink_2341" Type="http://schemas.openxmlformats.org/officeDocument/2006/relationships/hyperlink" Target="https://optovikufa.ru/product/237988/meteostanciya-dlya-doma-termometr-gigrometr-chasy-2060c/" TargetMode="External"/><Relationship Id="rId_hyperlink_2342" Type="http://schemas.openxmlformats.org/officeDocument/2006/relationships/hyperlink" Target="https://optovikufa.ru/product/218506/termometr-cifrovoy-ot-hom18-ta338-domulica/" TargetMode="External"/><Relationship Id="rId_hyperlink_2343" Type="http://schemas.openxmlformats.org/officeDocument/2006/relationships/hyperlink" Target="https://optovikufa.ru/product/149242/termometr-elektronnyy-ht-01-tpm-10-vynosnoy-datchik-dlina-provoda-1m/" TargetMode="External"/><Relationship Id="rId_hyperlink_2344" Type="http://schemas.openxmlformats.org/officeDocument/2006/relationships/hyperlink" Target="https://optovikufa.ru/product/177953/termometr-elektronnyy-ht-01-black-1m-50110c1c-48x28x15mm/" TargetMode="External"/><Relationship Id="rId_hyperlink_2345" Type="http://schemas.openxmlformats.org/officeDocument/2006/relationships/hyperlink" Target="https://optovikufa.ru/product/177957/termometr-elektronnyy-ht-01-white-dlina-provoda-1m-50110c1c-48x28x15mm/" TargetMode="External"/><Relationship Id="rId_hyperlink_2346" Type="http://schemas.openxmlformats.org/officeDocument/2006/relationships/hyperlink" Target="https://optovikufa.ru/product/217372/termometr-elektronnyy-dlya-akvariumov-ot-hom09/" TargetMode="External"/><Relationship Id="rId_hyperlink_2347" Type="http://schemas.openxmlformats.org/officeDocument/2006/relationships/hyperlink" Target="https://optovikufa.ru/product/237987/termometr-elektronnyy-dlya-holodilnika-podves-na-kryuchok-2060c-chernyy/" TargetMode="External"/><Relationship Id="rId_hyperlink_2348" Type="http://schemas.openxmlformats.org/officeDocument/2006/relationships/hyperlink" Target="https://optovikufa.ru/product/221103/termometr-gigrometr-garin-tochnoe-izmerenie-th-1/" TargetMode="External"/><Relationship Id="rId_hyperlink_2349" Type="http://schemas.openxmlformats.org/officeDocument/2006/relationships/hyperlink" Target="https://optovikufa.ru/product/170265/termometr-gigrometr-ot-hom12-htc-2-chasy-budilnik-vynosnoy-datchik/" TargetMode="External"/><Relationship Id="rId_hyperlink_2350" Type="http://schemas.openxmlformats.org/officeDocument/2006/relationships/hyperlink" Target="https://optovikufa.ru/product/242516/termometr-gigrometr-ot-hom28-termometr-schup-cifrovoy/" TargetMode="External"/><Relationship Id="rId_hyperlink_2351" Type="http://schemas.openxmlformats.org/officeDocument/2006/relationships/hyperlink" Target="https://optovikufa.ru/product/221388/termometr-gigrometr-elektronnyy-ot-hom17-ta328/" TargetMode="External"/><Relationship Id="rId_hyperlink_2352" Type="http://schemas.openxmlformats.org/officeDocument/2006/relationships/hyperlink" Target="https://optovikufa.ru/product/230870/termometr-schup-cifrovoy-garin-ft-01/" TargetMode="External"/><Relationship Id="rId_hyperlink_2353" Type="http://schemas.openxmlformats.org/officeDocument/2006/relationships/hyperlink" Target="https://optovikufa.ru/product/241844/chasy-meteostanciya-perfeo-pf-e0828-izel/" TargetMode="External"/><Relationship Id="rId_hyperlink_2354" Type="http://schemas.openxmlformats.org/officeDocument/2006/relationships/hyperlink" Target="https://optovikufa.ru/product/221324/elektronnyy-termometr-gigrometr-komnatnyyulichnyy-ta318/" TargetMode="External"/><Relationship Id="rId_hyperlink_2355" Type="http://schemas.openxmlformats.org/officeDocument/2006/relationships/hyperlink" Target="https://optovikufa.ru/product/144991/elektronnyy-termometr-gigrometr-ulichnyy-298ta-s-vynosnym-datchikom/" TargetMode="External"/><Relationship Id="rId_hyperlink_2356" Type="http://schemas.openxmlformats.org/officeDocument/2006/relationships/hyperlink" Target="https://optovikufa.ru/product/234336/filtr-dlya-uvlazhnitelya-vozduha-5sht/" TargetMode="External"/><Relationship Id="rId_hyperlink_2357" Type="http://schemas.openxmlformats.org/officeDocument/2006/relationships/hyperlink" Target="https://optovikufa.ru/product/238807/bezmen-elektronnyy-electronic-luggage-scale-50-kg-dlya-bagazha/" TargetMode="External"/><Relationship Id="rId_hyperlink_2358" Type="http://schemas.openxmlformats.org/officeDocument/2006/relationships/hyperlink" Target="https://optovikufa.ru/product/238786/bezmen-elektronnyy-electronic-luggage-scale-s-remeshkom-50-kg-dlya-bagazha/" TargetMode="External"/><Relationship Id="rId_hyperlink_2359" Type="http://schemas.openxmlformats.org/officeDocument/2006/relationships/hyperlink" Target="https://optovikufa.ru/product/230867/bezmen-elektronnyy-garin-ds2/" TargetMode="External"/><Relationship Id="rId_hyperlink_2360" Type="http://schemas.openxmlformats.org/officeDocument/2006/relationships/hyperlink" Target="https://optovikufa.ru/product/230868/bezmen-elektronnyy-garin-ds3/" TargetMode="External"/><Relationship Id="rId_hyperlink_2361" Type="http://schemas.openxmlformats.org/officeDocument/2006/relationships/hyperlink" Target="https://optovikufa.ru/product/230866/bezmen-elektronnyy-garin-tochnyy-ves-ds1-bl1/" TargetMode="External"/><Relationship Id="rId_hyperlink_2362" Type="http://schemas.openxmlformats.org/officeDocument/2006/relationships/hyperlink" Target="https://optovikufa.ru/product/225642/bezmen-elektronnyy-spark-lux-sl-h908-max-50kg/" TargetMode="External"/><Relationship Id="rId_hyperlink_2363" Type="http://schemas.openxmlformats.org/officeDocument/2006/relationships/hyperlink" Target="https://optovikufa.ru/product/228227/bezmen-elektronnyy-wh-a08/" TargetMode="External"/><Relationship Id="rId_hyperlink_2364" Type="http://schemas.openxmlformats.org/officeDocument/2006/relationships/hyperlink" Target="https://optovikufa.ru/product/229785/bezmen-elektronnyy-x-pert-xpr-603/" TargetMode="External"/><Relationship Id="rId_hyperlink_2365" Type="http://schemas.openxmlformats.org/officeDocument/2006/relationships/hyperlink" Target="https://optovikufa.ru/product/241404/bezmen-elektronnyy-x-pert-602/" TargetMode="External"/><Relationship Id="rId_hyperlink_2366" Type="http://schemas.openxmlformats.org/officeDocument/2006/relationships/hyperlink" Target="https://optovikufa.ru/product/228902/vesy-kuhonnye-dream-sf-400-1-10kg-belyy/" TargetMode="External"/><Relationship Id="rId_hyperlink_2367" Type="http://schemas.openxmlformats.org/officeDocument/2006/relationships/hyperlink" Target="https://optovikufa.ru/product/227761/vesy-kuhonnye-nastolnye-ot-how08-5kg-tochnost-01gr/" TargetMode="External"/><Relationship Id="rId_hyperlink_2368" Type="http://schemas.openxmlformats.org/officeDocument/2006/relationships/hyperlink" Target="https://optovikufa.ru/product/237579/vesy-kuhonnye-elektronnye-ergolux-elx-sk01-c36-pastatomaty-do-5-kg1515sm-zhk-displey-1h-cr2032-1865/" TargetMode="External"/><Relationship Id="rId_hyperlink_2369" Type="http://schemas.openxmlformats.org/officeDocument/2006/relationships/hyperlink" Target="https://optovikufa.ru/product/238871/vesy-kuhonnye-elektronnye-ergolux-elx-sk02-s01-belye-frukty-do-5-kg/" TargetMode="External"/><Relationship Id="rId_hyperlink_2370" Type="http://schemas.openxmlformats.org/officeDocument/2006/relationships/hyperlink" Target="https://optovikufa.ru/product/238872/vesy-kuhonnye-elektronnye-ergolux-elx-sk02-s02-chernye-specii-do-5-kg/" TargetMode="External"/><Relationship Id="rId_hyperlink_2371" Type="http://schemas.openxmlformats.org/officeDocument/2006/relationships/hyperlink" Target="https://optovikufa.ru/product/237566/vesy-kuhonnye-elektronnye-ergolux-elx-sk02-s03-serye-do-5-kg-195142-mm/" TargetMode="External"/><Relationship Id="rId_hyperlink_2372" Type="http://schemas.openxmlformats.org/officeDocument/2006/relationships/hyperlink" Target="https://optovikufa.ru/product/243131/vesy-kuhonnye-elektronnye-ergolux-elx-sk04-c03-serye-do-5-kg-so-semnoy-chashey/" TargetMode="External"/><Relationship Id="rId_hyperlink_2373" Type="http://schemas.openxmlformats.org/officeDocument/2006/relationships/hyperlink" Target="https://optovikufa.ru/product/237794/vesy-napolnye-ergolux-elx-sb02-c03-do-180-kg-serye/" TargetMode="External"/><Relationship Id="rId_hyperlink_2374" Type="http://schemas.openxmlformats.org/officeDocument/2006/relationships/hyperlink" Target="https://optovikufa.ru/product/237795/vesy-napolnye-ergolux-elx-sb02-c08-do-180-kg-gorod/" TargetMode="External"/><Relationship Id="rId_hyperlink_2375" Type="http://schemas.openxmlformats.org/officeDocument/2006/relationships/hyperlink" Target="https://optovikufa.ru/product/237796/vesy-napolnye-ergolux-elx-sb03-c45-do-180-kg-abstrakciya-sinyaya/" TargetMode="External"/><Relationship Id="rId_hyperlink_2376" Type="http://schemas.openxmlformats.org/officeDocument/2006/relationships/hyperlink" Target="https://optovikufa.ru/product/242980/vesy-napolnye-elektronnye-prozrachnye-kvadratnye-180kg-2003v/" TargetMode="External"/><Relationship Id="rId_hyperlink_2377" Type="http://schemas.openxmlformats.org/officeDocument/2006/relationships/hyperlink" Target="https://optovikufa.ru/product/242981/vesy-napolnye-elektronnye-prozrachnye-kvadratnye-180kg-2005d/" TargetMode="External"/><Relationship Id="rId_hyperlink_2378" Type="http://schemas.openxmlformats.org/officeDocument/2006/relationships/hyperlink" Target="https://optovikufa.ru/product/242979/vesy-napolnye-elektronnye-prozrachnye-kruglye-180kg-2003a/" TargetMode="External"/><Relationship Id="rId_hyperlink_2379" Type="http://schemas.openxmlformats.org/officeDocument/2006/relationships/hyperlink" Target="https://optovikufa.ru/product/242982/vesy-napolnye-elektronnye-s-risunkom-kvadratnye-180kg-2015k/" TargetMode="External"/><Relationship Id="rId_hyperlink_2380" Type="http://schemas.openxmlformats.org/officeDocument/2006/relationships/hyperlink" Target="https://optovikufa.ru/product/228901/vesy-portativnye-el-dream-w1-200gr-tochnost-001gr/" TargetMode="External"/><Relationship Id="rId_hyperlink_2381" Type="http://schemas.openxmlformats.org/officeDocument/2006/relationships/hyperlink" Target="https://optovikufa.ru/product/227752/vesy-portativnye-el-ot-how04-100gr-tochnost-001gr/" TargetMode="External"/><Relationship Id="rId_hyperlink_2382" Type="http://schemas.openxmlformats.org/officeDocument/2006/relationships/hyperlink" Target="https://optovikufa.ru/product/227753/vesy-portativnye-el-ot-how04-300gr-tochnost-001gr/" TargetMode="External"/><Relationship Id="rId_hyperlink_2383" Type="http://schemas.openxmlformats.org/officeDocument/2006/relationships/hyperlink" Target="https://optovikufa.ru/product/227754/vesy-portativnye-el-ot-how04-500gr-tochnost-001gr/" TargetMode="External"/><Relationship Id="rId_hyperlink_2384" Type="http://schemas.openxmlformats.org/officeDocument/2006/relationships/hyperlink" Target="https://optovikufa.ru/product/226297/vesy-portativnye-el-ot-how06-100gr-tochnost-001gr/" TargetMode="External"/><Relationship Id="rId_hyperlink_2385" Type="http://schemas.openxmlformats.org/officeDocument/2006/relationships/hyperlink" Target="https://optovikufa.ru/product/227759/vesy-portativnye-el-ot-how06-500gr-tochnost-001gr/" TargetMode="External"/><Relationship Id="rId_hyperlink_2386" Type="http://schemas.openxmlformats.org/officeDocument/2006/relationships/hyperlink" Target="https://optovikufa.ru/product/234114/vyklyuchatel-zvonkovyy-knopka-250v-a1-04-001/" TargetMode="External"/><Relationship Id="rId_hyperlink_2387" Type="http://schemas.openxmlformats.org/officeDocument/2006/relationships/hyperlink" Target="https://optovikufa.ru/product/242521/zvonok-besprovodnoy-garin-doorbell-db1k220-chernyy-bl1/" TargetMode="External"/><Relationship Id="rId_hyperlink_2388" Type="http://schemas.openxmlformats.org/officeDocument/2006/relationships/hyperlink" Target="https://optovikufa.ru/product/242519/zvonok-besprovodnoy-garin-doorbell-db1kbat-chernyy-bl1/" TargetMode="External"/><Relationship Id="rId_hyperlink_2389" Type="http://schemas.openxmlformats.org/officeDocument/2006/relationships/hyperlink" Target="https://optovikufa.ru/product/242522/zvonok-besprovodnoy-garin-doorbell-db1w220-belyy-bl1/" TargetMode="External"/><Relationship Id="rId_hyperlink_2390" Type="http://schemas.openxmlformats.org/officeDocument/2006/relationships/hyperlink" Target="https://optovikufa.ru/product/242520/zvonok-besprovodnoy-garin-doorbell-db1wbat-belyy-bl1/" TargetMode="External"/><Relationship Id="rId_hyperlink_2391" Type="http://schemas.openxmlformats.org/officeDocument/2006/relationships/hyperlink" Target="https://optovikufa.ru/product/234478/zvonok-besprovodnoy-garin-doorbell-ella-s-vlagozaschitnoy-knopkoy-123a-12v-knopka-2aa-15v-dinamik/" TargetMode="External"/><Relationship Id="rId_hyperlink_2392" Type="http://schemas.openxmlformats.org/officeDocument/2006/relationships/hyperlink" Target="https://optovikufa.ru/product/234480/zvonok-besprovodnoy-garin-doorbell-rio-nochnik-vlagozaschitnaya-knopka-123a-12v-knopka-220v-dinamik/" TargetMode="External"/><Relationship Id="rId_hyperlink_2393" Type="http://schemas.openxmlformats.org/officeDocument/2006/relationships/hyperlink" Target="https://optovikufa.ru/product/242733/zvonok-besprovodnoy-dzhett-602-100m-dvuhtonalnyy-2aa/" TargetMode="External"/><Relationship Id="rId_hyperlink_2394" Type="http://schemas.openxmlformats.org/officeDocument/2006/relationships/hyperlink" Target="https://optovikufa.ru/product/242735/zvonok-besprovodnoy-dzhett-624-120m-36-melodiy-2aa/" TargetMode="External"/><Relationship Id="rId_hyperlink_2395" Type="http://schemas.openxmlformats.org/officeDocument/2006/relationships/hyperlink" Target="https://optovikufa.ru/product/223452/zvonok-besprovodnoy-s-vynosnym-datchikom-dvizheniya-rexant-gs-215-493940/" TargetMode="External"/><Relationship Id="rId_hyperlink_2396" Type="http://schemas.openxmlformats.org/officeDocument/2006/relationships/hyperlink" Target="https://optovikufa.ru/product/159412/zvonok-elektricheskiy-ptichka-bez-knopki-220v-sq1901-0106-kod-knopki-1531/" TargetMode="External"/><Relationship Id="rId_hyperlink_2397" Type="http://schemas.openxmlformats.org/officeDocument/2006/relationships/hyperlink" Target="https://optovikufa.ru/product/221030/trubka-domofona-s-indikatorom-rexant-45-0347/" TargetMode="External"/><Relationship Id="rId_hyperlink_2398" Type="http://schemas.openxmlformats.org/officeDocument/2006/relationships/hyperlink" Target="https://optovikufa.ru/product/221034/trubka-domofona-s-indikatorom-rexant-premium-45-0346/" TargetMode="External"/><Relationship Id="rId_hyperlink_2399" Type="http://schemas.openxmlformats.org/officeDocument/2006/relationships/hyperlink" Target="https://optovikufa.ru/product/240433/trubka-domofona-s-indikatorom-i-regulirovkoy-gromkosti-rexant-rx-322-zheltaya/" TargetMode="External"/><Relationship Id="rId_hyperlink_2400" Type="http://schemas.openxmlformats.org/officeDocument/2006/relationships/hyperlink" Target="https://optovikufa.ru/product/159080/elzvonok-dzhett-232-besprovodnoy-distanc-120m-220v-38-melodiy-2-zvonka-v003a2/" TargetMode="External"/><Relationship Id="rId_hyperlink_2401" Type="http://schemas.openxmlformats.org/officeDocument/2006/relationships/hyperlink" Target="https://optovikufa.ru/product/239453/zamok-navesnoy-20mm-smartbuy-duzhka-d3mm-3-klyucha-sbt-lk-2003/" TargetMode="External"/><Relationship Id="rId_hyperlink_2402" Type="http://schemas.openxmlformats.org/officeDocument/2006/relationships/hyperlink" Target="https://optovikufa.ru/product/228988/zamok-navesnoy-extra-40mm-3-klyucha/" TargetMode="External"/><Relationship Id="rId_hyperlink_2403" Type="http://schemas.openxmlformats.org/officeDocument/2006/relationships/hyperlink" Target="https://optovikufa.ru/product/242097/zamok-navesnoy-pochtovyy-25mm-cena-za-1sht-bl-12/" TargetMode="External"/><Relationship Id="rId_hyperlink_2404" Type="http://schemas.openxmlformats.org/officeDocument/2006/relationships/hyperlink" Target="https://optovikufa.ru/product/131069/kalkulyator-837-ii-12-razr-nastolnyy/" TargetMode="External"/><Relationship Id="rId_hyperlink_2405" Type="http://schemas.openxmlformats.org/officeDocument/2006/relationships/hyperlink" Target="https://optovikufa.ru/product/143564/kalkulyator-kenko-3180-12-12-razr-nastolnyy/" TargetMode="External"/><Relationship Id="rId_hyperlink_2406" Type="http://schemas.openxmlformats.org/officeDocument/2006/relationships/hyperlink" Target="https://optovikufa.ru/product/224429/kalkulyator-perfeo-a4027-12-razryadnyy-gt/" TargetMode="External"/><Relationship Id="rId_hyperlink_2407" Type="http://schemas.openxmlformats.org/officeDocument/2006/relationships/hyperlink" Target="https://optovikufa.ru/product/230879/kalkulyator-perfeo-a4855-12-razryadnyy/" TargetMode="External"/><Relationship Id="rId_hyperlink_2408" Type="http://schemas.openxmlformats.org/officeDocument/2006/relationships/hyperlink" Target="https://optovikufa.ru/product/241349/kalkulyator-perfeo-pf_b4852-buhgalterskiy-12-razr-chernyy/" TargetMode="External"/><Relationship Id="rId_hyperlink_2409" Type="http://schemas.openxmlformats.org/officeDocument/2006/relationships/hyperlink" Target="https://optovikufa.ru/product/165727/elektronasos-pogruzhnoy-rucheek-1-220v-225vt-shnur-10m-rbelorus-12221/" TargetMode="External"/><Relationship Id="rId_hyperlink_2410" Type="http://schemas.openxmlformats.org/officeDocument/2006/relationships/hyperlink" Target="https://optovikufa.ru/product/165728/elektronasos-pogruzhnoy-rucheek-1-220v-225vt-shnur-15m-rbelorus-031215/" TargetMode="External"/><Relationship Id="rId_hyperlink_2411" Type="http://schemas.openxmlformats.org/officeDocument/2006/relationships/hyperlink" Target="https://optovikufa.ru/product/165729/elektronasos-pogruzhnoy-rucheek-1m-220v-225vt-shnur-10m-rbelorus-021619/" TargetMode="External"/><Relationship Id="rId_hyperlink_2412" Type="http://schemas.openxmlformats.org/officeDocument/2006/relationships/hyperlink" Target="https://optovikufa.ru/product/165730/elektronasos-pogruzhnoy-rucheek-1m-220v-225vt-shnur-15m-rbelorus-032037/" TargetMode="External"/><Relationship Id="rId_hyperlink_2413" Type="http://schemas.openxmlformats.org/officeDocument/2006/relationships/hyperlink" Target="https://optovikufa.ru/product/234054/taymer-sekundomer-ot-hom21-belyy/" TargetMode="External"/><Relationship Id="rId_hyperlink_2414" Type="http://schemas.openxmlformats.org/officeDocument/2006/relationships/hyperlink" Target="https://optovikufa.ru/product/234055/taymer-sekundomer-ot-hom21-serebro/" TargetMode="External"/><Relationship Id="rId_hyperlink_2415" Type="http://schemas.openxmlformats.org/officeDocument/2006/relationships/hyperlink" Target="https://optovikufa.ru/product/234056/taymer-sekundomer-ot-hom21-chernyy/" TargetMode="External"/><Relationship Id="rId_hyperlink_2416" Type="http://schemas.openxmlformats.org/officeDocument/2006/relationships/hyperlink" Target="https://optovikufa.ru/product/234057/taymer-sekundomer-ot-hom22-belyy/" TargetMode="External"/><Relationship Id="rId_hyperlink_2417" Type="http://schemas.openxmlformats.org/officeDocument/2006/relationships/hyperlink" Target="https://optovikufa.ru/product/238869/taymer-garin-kt-02-elektronnyy/" TargetMode="External"/><Relationship Id="rId_hyperlink_2418" Type="http://schemas.openxmlformats.org/officeDocument/2006/relationships/hyperlink" Target="https://optovikufa.ru/product/238870/taymer-garin-kt-03-mehanicheskiy/" TargetMode="External"/><Relationship Id="rId_hyperlink_2419" Type="http://schemas.openxmlformats.org/officeDocument/2006/relationships/hyperlink" Target="https://optovikufa.ru/product/217934/taymer-kuhonnyy-sekundomer-prischepka-magnit/" TargetMode="External"/><Relationship Id="rId_hyperlink_2420" Type="http://schemas.openxmlformats.org/officeDocument/2006/relationships/hyperlink" Target="https://optovikufa.ru/product/168466/chasy-naruchnye-zhenskie-pyatnistyy-remeshok-ciferblat-s-blestyaschey-kroshkoy-miks-1227396-soi/" TargetMode="External"/><Relationship Id="rId_hyperlink_2421" Type="http://schemas.openxmlformats.org/officeDocument/2006/relationships/hyperlink" Target="https://optovikufa.ru/product/135775/chasy-naruchnye-braslet-detskie-silikonovyy-remeshok-cveta-v-assor-/" TargetMode="External"/><Relationship Id="rId_hyperlink_2422" Type="http://schemas.openxmlformats.org/officeDocument/2006/relationships/hyperlink" Target="https://optovikufa.ru/product/133130/chasy-elektronnye-v-sportivnom-stile-silikonovyy-braslet-cveta-v-assort-/" TargetMode="External"/><Relationship Id="rId_hyperlink_2423" Type="http://schemas.openxmlformats.org/officeDocument/2006/relationships/hyperlink" Target="https://optovikufa.ru/product/148303/chasy-elektronnye-naruchnye-detskie-s-silikremeshkom-ciferblat-kruglyy-s-risunkami-belo-zheltye-/" TargetMode="External"/><Relationship Id="rId_hyperlink_2424" Type="http://schemas.openxmlformats.org/officeDocument/2006/relationships/hyperlink" Target="https://optovikufa.ru/product/148302/chasy-elektronnye-naruchnye-detskie-s-silikremeshkom-ciferblat-kruglyy-s-risunkami-belo-rozovye-/" TargetMode="External"/><Relationship Id="rId_hyperlink_2425" Type="http://schemas.openxmlformats.org/officeDocument/2006/relationships/hyperlink" Target="https://optovikufa.ru/product/148299/chasy-elektronnye-naruchnye-detskie-s-silikremeshkom-ciferblat-kruglyy-s-risunkami-belo-salatovye-/" TargetMode="External"/><Relationship Id="rId_hyperlink_2426" Type="http://schemas.openxmlformats.org/officeDocument/2006/relationships/hyperlink" Target="https://optovikufa.ru/product/148304/chasy-elektronnye-naruchnye-detskie-s-silikremeshkom-ciferblat-kruglyy-s-risunkami-belo-sinie-/" TargetMode="External"/><Relationship Id="rId_hyperlink_2427" Type="http://schemas.openxmlformats.org/officeDocument/2006/relationships/hyperlink" Target="https://optovikufa.ru/product/123514/chasy-elektronnye-naruchnye-detskie-s-silikonovym-prozrachnym-brasletom-839186/" TargetMode="External"/><Relationship Id="rId_hyperlink_2428" Type="http://schemas.openxmlformats.org/officeDocument/2006/relationships/hyperlink" Target="https://optovikufa.ru/product/123532/chasy-elektronnye-naruchnye-zhenskie-s-silikbrasletomsportivnye839211-si/" TargetMode="External"/><Relationship Id="rId_hyperlink_2429" Type="http://schemas.openxmlformats.org/officeDocument/2006/relationships/hyperlink" Target="https://optovikufa.ru/product/153789/chasy-elektronnye-naruchnye-zhenskie-s-silikremeshkom-ciferblat-kruglyy-belyy-obodok-krasnye-839091-si/" TargetMode="External"/><Relationship Id="rId_hyperlink_2430" Type="http://schemas.openxmlformats.org/officeDocument/2006/relationships/hyperlink" Target="https://optovikufa.ru/product/153790/chasy-elektronnye-naruchnye-zhenskie-s-silikremeshkom-ciferblat-kruglyy-belyy-obodok-rozovye-839093-si/" TargetMode="External"/><Relationship Id="rId_hyperlink_2431" Type="http://schemas.openxmlformats.org/officeDocument/2006/relationships/hyperlink" Target="https://optovikufa.ru/product/153792/chasy-elektronnye-naruchnye-zhenskie-s-silikremeshkom-ciferblat-kruglyy-chernyy-salatovye-839106-si/" TargetMode="External"/><Relationship Id="rId_hyperlink_2432" Type="http://schemas.openxmlformats.org/officeDocument/2006/relationships/hyperlink" Target="https://optovikufa.ru/product/123527/chasy-elektronnye-naruchnye-zhenskie-s-silikremeshkombudilniksekundomerdata-839118-si/" TargetMode="External"/><Relationship Id="rId_hyperlink_2433" Type="http://schemas.openxmlformats.org/officeDocument/2006/relationships/hyperlink" Target="https://optovikufa.ru/product/241838/chasy-nastennye-perfeo-pf-wc-001s1-kruglye-d-20-sm-chernyy-korpusbelyy-ciferblat/" TargetMode="External"/><Relationship Id="rId_hyperlink_2434" Type="http://schemas.openxmlformats.org/officeDocument/2006/relationships/hyperlink" Target="https://optovikufa.ru/product/241839/chasy-nastennye-perfeo-pf-wc-001s1-kruglye-d-20-sm-chernyy-korpuschernyy-ciferblat/" TargetMode="External"/><Relationship Id="rId_hyperlink_2435" Type="http://schemas.openxmlformats.org/officeDocument/2006/relationships/hyperlink" Target="https://optovikufa.ru/product/241842/chasy-nastennye-perfeo-pf-wc-002s2-kruglye-d-25sm-chernyy-korpuschernyy-ciferblat/" TargetMode="External"/><Relationship Id="rId_hyperlink_2436" Type="http://schemas.openxmlformats.org/officeDocument/2006/relationships/hyperlink" Target="https://optovikufa.ru/product/242949/chasy-nastennye-perfeo-pf-wc-012-kruglye-d-30sm-zolotoy-korpusbelyy-ciferblat/" TargetMode="External"/><Relationship Id="rId_hyperlink_2437" Type="http://schemas.openxmlformats.org/officeDocument/2006/relationships/hyperlink" Target="https://optovikufa.ru/product/242950/chasy-nastennye-perfeo-pf-wc-021-kruglye-d-36sm-serebryanyy-korpusbelyy-ciferblat/" TargetMode="External"/><Relationship Id="rId_hyperlink_2438" Type="http://schemas.openxmlformats.org/officeDocument/2006/relationships/hyperlink" Target="https://optovikufa.ru/product/241341/chasy-budilnik-perfeo-quartz-pf-tc-009-kruglye-diam-153-sm-podves-na-stenu-zvezda/" TargetMode="External"/><Relationship Id="rId_hyperlink_2439" Type="http://schemas.openxmlformats.org/officeDocument/2006/relationships/hyperlink" Target="https://optovikufa.ru/product/241342/chasy-budilnik-perfeo-quartz-pf-tc-009-kruglye-diam-153-sm-podves-na-stenu-mayak/" TargetMode="External"/><Relationship Id="rId_hyperlink_2440" Type="http://schemas.openxmlformats.org/officeDocument/2006/relationships/hyperlink" Target="https://optovikufa.ru/product/241343/chasy-budilnik-perfeo-quartz-pf-tc-009-kruglye-diam-153-sm-podves-na-stenu-rakushka/" TargetMode="External"/><Relationship Id="rId_hyperlink_2441" Type="http://schemas.openxmlformats.org/officeDocument/2006/relationships/hyperlink" Target="https://optovikufa.ru/product/241344/chasy-budilnik-perfeo-quartz-pf-tc-009-kruglye-diam-153-sm-podves-na-stenu-shturval/" TargetMode="External"/><Relationship Id="rId_hyperlink_2442" Type="http://schemas.openxmlformats.org/officeDocument/2006/relationships/hyperlink" Target="https://optovikufa.ru/product/241347/chasy-budilnik-perfeo-quartz-pf-tc-010-kvadratnye-148148-sm-podves-na-stenu-rakushka/" TargetMode="External"/><Relationship Id="rId_hyperlink_2443" Type="http://schemas.openxmlformats.org/officeDocument/2006/relationships/hyperlink" Target="https://optovikufa.ru/product/241348/chasy-budilnik-perfeo-quartz-pf-tc-010-kvadratnye-148148-sm-podves-na-stenu-shturval/" TargetMode="External"/><Relationship Id="rId_hyperlink_2444" Type="http://schemas.openxmlformats.org/officeDocument/2006/relationships/hyperlink" Target="https://optovikufa.ru/product/236466/chasy-nastennye-ot-clw08-belyy/" TargetMode="External"/><Relationship Id="rId_hyperlink_2445" Type="http://schemas.openxmlformats.org/officeDocument/2006/relationships/hyperlink" Target="https://optovikufa.ru/product/236467/chasy-nastennye-ot-clw08-zelenyy/" TargetMode="External"/><Relationship Id="rId_hyperlink_2446" Type="http://schemas.openxmlformats.org/officeDocument/2006/relationships/hyperlink" Target="https://optovikufa.ru/product/231794/chasy-budilnik-perfeo-quartz-pf-tc-002-romb-belyy/" TargetMode="External"/><Relationship Id="rId_hyperlink_2447" Type="http://schemas.openxmlformats.org/officeDocument/2006/relationships/hyperlink" Target="https://optovikufa.ru/product/231797/chasy-budilnik-perfeo-quartz-pf-tc-002-romb-siniy/" TargetMode="External"/><Relationship Id="rId_hyperlink_2448" Type="http://schemas.openxmlformats.org/officeDocument/2006/relationships/hyperlink" Target="https://optovikufa.ru/product/235200/chasy-budilnik-perfeo-quartz-pf-tc-004-pryamougolnyy-siniy/" TargetMode="External"/><Relationship Id="rId_hyperlink_2449" Type="http://schemas.openxmlformats.org/officeDocument/2006/relationships/hyperlink" Target="https://optovikufa.ru/product/228314/chasy-budilnik-perfeo-quartz-pf-tc-005-pryamougolnyy-belyy/" TargetMode="External"/><Relationship Id="rId_hyperlink_2450" Type="http://schemas.openxmlformats.org/officeDocument/2006/relationships/hyperlink" Target="https://optovikufa.ru/product/228315/chasy-budilnik-perfeo-quartz-pf-tc-005-pryamougolnyy-krasnyy/" TargetMode="External"/><Relationship Id="rId_hyperlink_2451" Type="http://schemas.openxmlformats.org/officeDocument/2006/relationships/hyperlink" Target="https://optovikufa.ru/product/228316/chasy-budilnik-perfeo-quartz-pf-tc-005-pryamougolnyy-siniy/" TargetMode="External"/><Relationship Id="rId_hyperlink_2452" Type="http://schemas.openxmlformats.org/officeDocument/2006/relationships/hyperlink" Target="https://optovikufa.ru/product/241831/chasy-budilnik-perfeo-quartz-pf-tc-013-kruglye-diam-105-sm-mayak/" TargetMode="External"/><Relationship Id="rId_hyperlink_2453" Type="http://schemas.openxmlformats.org/officeDocument/2006/relationships/hyperlink" Target="https://optovikufa.ru/product/241833/chasy-budilnik-perfeo-quartz-pf-tc-013-kruglye-diam-105-sm-shturval/" TargetMode="External"/><Relationship Id="rId_hyperlink_2454" Type="http://schemas.openxmlformats.org/officeDocument/2006/relationships/hyperlink" Target="https://optovikufa.ru/product/174538/chasy-vst711-2-elsetevye-zelenye-cifry/" TargetMode="External"/><Relationship Id="rId_hyperlink_2455" Type="http://schemas.openxmlformats.org/officeDocument/2006/relationships/hyperlink" Target="https://optovikufa.ru/product/129898/chasy-vst712-2-elsetevye-zelenye-cifry/" TargetMode="External"/><Relationship Id="rId_hyperlink_2456" Type="http://schemas.openxmlformats.org/officeDocument/2006/relationships/hyperlink" Target="https://optovikufa.ru/product/129899/chasy-vst712-4-elsetevye-zelenye-cifry/" TargetMode="External"/><Relationship Id="rId_hyperlink_2457" Type="http://schemas.openxmlformats.org/officeDocument/2006/relationships/hyperlink" Target="https://optovikufa.ru/product/221421/chasy-vst712-6-elsetevye-belye-cifry/" TargetMode="External"/><Relationship Id="rId_hyperlink_2458" Type="http://schemas.openxmlformats.org/officeDocument/2006/relationships/hyperlink" Target="https://optovikufa.ru/product/129010/chasy-vst715-2-elsetevye-zelenye-cifry/" TargetMode="External"/><Relationship Id="rId_hyperlink_2459" Type="http://schemas.openxmlformats.org/officeDocument/2006/relationships/hyperlink" Target="https://optovikufa.ru/product/129901/chasy-vst715-4-elsetevye-zelenye-cifry/" TargetMode="External"/><Relationship Id="rId_hyperlink_2460" Type="http://schemas.openxmlformats.org/officeDocument/2006/relationships/hyperlink" Target="https://optovikufa.ru/product/146301/chasy-vst715-6-elsetevye-belye-cifry/" TargetMode="External"/><Relationship Id="rId_hyperlink_2461" Type="http://schemas.openxmlformats.org/officeDocument/2006/relationships/hyperlink" Target="https://optovikufa.ru/product/176618/chasy-vst717-2-elsetevye-zelenye-cifry/" TargetMode="External"/><Relationship Id="rId_hyperlink_2462" Type="http://schemas.openxmlformats.org/officeDocument/2006/relationships/hyperlink" Target="https://optovikufa.ru/product/176619/chasy-vst717-4-elsetevye-zelenye-cifry/" TargetMode="External"/><Relationship Id="rId_hyperlink_2463" Type="http://schemas.openxmlformats.org/officeDocument/2006/relationships/hyperlink" Target="https://optovikufa.ru/product/146303/chasy-vst717-6-elsetevye-belye-cifry/" TargetMode="External"/><Relationship Id="rId_hyperlink_2464" Type="http://schemas.openxmlformats.org/officeDocument/2006/relationships/hyperlink" Target="https://optovikufa.ru/product/122345/chasy-vst719-2-elsetevye-zelenye-cifry/" TargetMode="External"/><Relationship Id="rId_hyperlink_2465" Type="http://schemas.openxmlformats.org/officeDocument/2006/relationships/hyperlink" Target="https://optovikufa.ru/product/141351/chasy-vst721-2-elsetevye-zelenye-cifry/" TargetMode="External"/><Relationship Id="rId_hyperlink_2466" Type="http://schemas.openxmlformats.org/officeDocument/2006/relationships/hyperlink" Target="https://optovikufa.ru/product/137640/chasy-vst721-5-elsetevye-sinie-cifry/" TargetMode="External"/><Relationship Id="rId_hyperlink_2467" Type="http://schemas.openxmlformats.org/officeDocument/2006/relationships/hyperlink" Target="https://optovikufa.ru/product/178717/chasy-vst728-1-elsetevye-krasnye-cifry/" TargetMode="External"/><Relationship Id="rId_hyperlink_2468" Type="http://schemas.openxmlformats.org/officeDocument/2006/relationships/hyperlink" Target="https://optovikufa.ru/product/137641/chasy-vst728-4-elsetevye-zelenye-cifry/" TargetMode="External"/><Relationship Id="rId_hyperlink_2469" Type="http://schemas.openxmlformats.org/officeDocument/2006/relationships/hyperlink" Target="https://optovikufa.ru/product/122347/chasy-vst772-2-elsetevye-zelenye-cifry-bez-bloka/" TargetMode="External"/><Relationship Id="rId_hyperlink_2470" Type="http://schemas.openxmlformats.org/officeDocument/2006/relationships/hyperlink" Target="https://optovikufa.ru/product/236472/chasy-vst862-1-elsetevye-krasnye-cifry-korichnevyy/" TargetMode="External"/><Relationship Id="rId_hyperlink_2471" Type="http://schemas.openxmlformats.org/officeDocument/2006/relationships/hyperlink" Target="https://optovikufa.ru/product/129916/chasy-vst902-1-elsetevye-krasnye-cifry-radio/" TargetMode="External"/><Relationship Id="rId_hyperlink_2472" Type="http://schemas.openxmlformats.org/officeDocument/2006/relationships/hyperlink" Target="https://optovikufa.ru/product/129917/chasy-vst902-2-elsetevye-zelenye-cifry-radio/" TargetMode="External"/><Relationship Id="rId_hyperlink_2473" Type="http://schemas.openxmlformats.org/officeDocument/2006/relationships/hyperlink" Target="https://optovikufa.ru/product/174918/chasy-vst906-1-elsetevye-krasnye-cifry-radio/" TargetMode="External"/><Relationship Id="rId_hyperlink_2474" Type="http://schemas.openxmlformats.org/officeDocument/2006/relationships/hyperlink" Target="https://optovikufa.ru/product/238971/chasy-nastolnye-proekcionnye-ds-618-temper-budilnik-3-aaa/" TargetMode="External"/><Relationship Id="rId_hyperlink_2475" Type="http://schemas.openxmlformats.org/officeDocument/2006/relationships/hyperlink" Target="https://optovikufa.ru/product/243323/zazhigalka-gorelka-gazovaya-prozrachnaya-013/" TargetMode="External"/><Relationship Id="rId_hyperlink_2476" Type="http://schemas.openxmlformats.org/officeDocument/2006/relationships/hyperlink" Target="https://optovikufa.ru/product/178091/pezozazhigalka-energy-jzdd-25-g-zelenaya-157444/" TargetMode="External"/><Relationship Id="rId_hyperlink_2477" Type="http://schemas.openxmlformats.org/officeDocument/2006/relationships/hyperlink" Target="https://optovikufa.ru/product/235005/pezozazhigalka-energy-jzdd-25-r-krasnaya-157790/" TargetMode="External"/><Relationship Id="rId_hyperlink_2478" Type="http://schemas.openxmlformats.org/officeDocument/2006/relationships/hyperlink" Target="https://optovikufa.ru/product/178090/pezozazhigalka-energy-jzdd-25-v-sinyaya-157445/" TargetMode="External"/><Relationship Id="rId_hyperlink_2479" Type="http://schemas.openxmlformats.org/officeDocument/2006/relationships/hyperlink" Target="https://optovikufa.ru/product/239920/pezozazhigalka-homestar-hs-1206/" TargetMode="External"/><Relationship Id="rId_hyperlink_2480" Type="http://schemas.openxmlformats.org/officeDocument/2006/relationships/hyperlink" Target="https://optovikufa.ru/product/166971/kipyatilnik-elektricheskiy-05-kvt-hj-116/" TargetMode="External"/><Relationship Id="rId_hyperlink_2481" Type="http://schemas.openxmlformats.org/officeDocument/2006/relationships/hyperlink" Target="https://optovikufa.ru/product/222166/kipyatilnik-elektricheskiy-05-kvt-hj-138-zheltyy/" TargetMode="External"/><Relationship Id="rId_hyperlink_2482" Type="http://schemas.openxmlformats.org/officeDocument/2006/relationships/hyperlink" Target="https://optovikufa.ru/product/142388/kipyatilnik-elektricheskiy-1000-vt-gvelikie-luki/" TargetMode="External"/><Relationship Id="rId_hyperlink_2483" Type="http://schemas.openxmlformats.org/officeDocument/2006/relationships/hyperlink" Target="https://optovikufa.ru/product/142389/kipyatilnik-elektricheskiy-1200-vt-gvelikie-luki/" TargetMode="External"/><Relationship Id="rId_hyperlink_2484" Type="http://schemas.openxmlformats.org/officeDocument/2006/relationships/hyperlink" Target="https://optovikufa.ru/product/142390/kipyatilnik-elektricheskiy-1500-vt-gvelikie-luki/" TargetMode="External"/><Relationship Id="rId_hyperlink_2485" Type="http://schemas.openxmlformats.org/officeDocument/2006/relationships/hyperlink" Target="https://optovikufa.ru/product/236503/kipyatilnik-elektricheskiy-1500-vt-hj-101-zelenyy/" TargetMode="External"/><Relationship Id="rId_hyperlink_2486" Type="http://schemas.openxmlformats.org/officeDocument/2006/relationships/hyperlink" Target="https://optovikufa.ru/product/238700/kipyatilnik-elektricheskiy-1500-vt-hj-115-chernyy/" TargetMode="External"/><Relationship Id="rId_hyperlink_2487" Type="http://schemas.openxmlformats.org/officeDocument/2006/relationships/hyperlink" Target="https://optovikufa.ru/product/236505/kipyatilnik-elektricheskiy-1500-vt-hj-1515-siniy/" TargetMode="External"/><Relationship Id="rId_hyperlink_2488" Type="http://schemas.openxmlformats.org/officeDocument/2006/relationships/hyperlink" Target="https://optovikufa.ru/product/236506/kipyatilnik-elektricheskiy-1500-vt-hj-1518-belyy/" TargetMode="External"/><Relationship Id="rId_hyperlink_2489" Type="http://schemas.openxmlformats.org/officeDocument/2006/relationships/hyperlink" Target="https://optovikufa.ru/product/142386/kipyatilnik-elektricheskiy-300-vt-gvelikie-luki/" TargetMode="External"/><Relationship Id="rId_hyperlink_2490" Type="http://schemas.openxmlformats.org/officeDocument/2006/relationships/hyperlink" Target="https://optovikufa.ru/product/137218/kipyatilnik-elektricheskiy-630-vt-gvelikie-luki/" TargetMode="External"/><Relationship Id="rId_hyperlink_2491" Type="http://schemas.openxmlformats.org/officeDocument/2006/relationships/hyperlink" Target="https://optovikufa.ru/product/236672/vinomer-bytovoy-1651313-diapazon-0-25/" TargetMode="External"/><Relationship Id="rId_hyperlink_2492" Type="http://schemas.openxmlformats.org/officeDocument/2006/relationships/hyperlink" Target="https://optovikufa.ru/product/240254/spirtometr-bytovoy-universalnyy-1551313sm-diapazon-0-96/" TargetMode="External"/><Relationship Id="rId_hyperlink_2493" Type="http://schemas.openxmlformats.org/officeDocument/2006/relationships/hyperlink" Target="https://optovikufa.ru/product/230487/chaynik-avtomobilnyy-12v-120vt-08l-seryy-airline-abk-12-01/" TargetMode="External"/><Relationship Id="rId_hyperlink_2494" Type="http://schemas.openxmlformats.org/officeDocument/2006/relationships/hyperlink" Target="https://optovikufa.ru/product/221031/chaynik-elektricheskiy-matrena-ma-002-1500vt-18l-metall-zheltyy-5407/" TargetMode="External"/><Relationship Id="rId_hyperlink_2495" Type="http://schemas.openxmlformats.org/officeDocument/2006/relationships/hyperlink" Target="https://optovikufa.ru/product/237904/plita-elektricheskaya-1-konforka-disk-1000vt-rusmaster-wy-01d-uyut/" TargetMode="External"/><Relationship Id="rId_hyperlink_2496" Type="http://schemas.openxmlformats.org/officeDocument/2006/relationships/hyperlink" Target="https://optovikufa.ru/product/237905/plita-elektricheskaya-1-konforka-spiral-1000vt-rusmaster-wy-02d-narodnaya/" TargetMode="External"/><Relationship Id="rId_hyperlink_2497" Type="http://schemas.openxmlformats.org/officeDocument/2006/relationships/hyperlink" Target="https://optovikufa.ru/product/183523/plita-elektricheskaya-1-konforka-spiral-1000vt-belaya-energy-en-902-158902/" TargetMode="External"/><Relationship Id="rId_hyperlink_2498" Type="http://schemas.openxmlformats.org/officeDocument/2006/relationships/hyperlink" Target="https://optovikufa.ru/product/183524/plita-elektricheskaya-1-konforka-spiral-1000vt-chernaya-energy-en-902b-158966/" TargetMode="External"/><Relationship Id="rId_hyperlink_2499" Type="http://schemas.openxmlformats.org/officeDocument/2006/relationships/hyperlink" Target="https://optovikufa.ru/product/237906/plita-elektricheskaya-2-konforka-spiral-2000vt-rusmaster-wy-05-narodnaya/" TargetMode="External"/><Relationship Id="rId_hyperlink_2500" Type="http://schemas.openxmlformats.org/officeDocument/2006/relationships/hyperlink" Target="https://optovikufa.ru/product/159429/plita-elektricheskaya-2-konforki-spiral-10001000vt-belaya-energy-en-904/" TargetMode="External"/><Relationship Id="rId_hyperlink_2501" Type="http://schemas.openxmlformats.org/officeDocument/2006/relationships/hyperlink" Target="https://optovikufa.ru/product/239627/plitka-elektricheskaya-hot-plate-1konf-1000vt-spiral-jx-1010b/" TargetMode="External"/><Relationship Id="rId_hyperlink_2502" Type="http://schemas.openxmlformats.org/officeDocument/2006/relationships/hyperlink" Target="https://optovikufa.ru/product/166630/plitka-elektricheskaya-hot-plate-2konf-1000vt1000vt-spiral-2020b/" TargetMode="External"/><Relationship Id="rId_hyperlink_2503" Type="http://schemas.openxmlformats.org/officeDocument/2006/relationships/hyperlink" Target="https://optovikufa.ru/product/183526/plitka-elektricheskaya-homestar-hs-1103-1-konf-spiral-1000vt/" TargetMode="External"/><Relationship Id="rId_hyperlink_2504" Type="http://schemas.openxmlformats.org/officeDocument/2006/relationships/hyperlink" Target="https://optovikufa.ru/product/241971/plitka-elektricheskaya-diskovaya-1konf-1000vt-1010a/" TargetMode="External"/><Relationship Id="rId_hyperlink_2505" Type="http://schemas.openxmlformats.org/officeDocument/2006/relationships/hyperlink" Target="https://optovikufa.ru/product/241972/plitka-elektricheskaya-diskovaya-2konf-1000vt1000vt-2020a/" TargetMode="External"/><Relationship Id="rId_hyperlink_2506" Type="http://schemas.openxmlformats.org/officeDocument/2006/relationships/hyperlink" Target="https://optovikufa.ru/product/241655/nabor-dlya-vyzhiganiya-pomoschnik-pm-inp28-5-v-1/" TargetMode="External"/><Relationship Id="rId_hyperlink_2507" Type="http://schemas.openxmlformats.org/officeDocument/2006/relationships/hyperlink" Target="https://optovikufa.ru/product/242963/butylka-alyuminievaya-1000ml-dlya-sporta-s-karabinom-cvetnaya-oregon-16405-28/" TargetMode="External"/><Relationship Id="rId_hyperlink_2508" Type="http://schemas.openxmlformats.org/officeDocument/2006/relationships/hyperlink" Target="https://optovikufa.ru/product/242960/butylka-alyuminievaya-400ml-dlya-sporta-s-karabinom-cvetnaya-oregon-16405-24/" TargetMode="External"/><Relationship Id="rId_hyperlink_2509" Type="http://schemas.openxmlformats.org/officeDocument/2006/relationships/hyperlink" Target="https://optovikufa.ru/product/242961/butylka-alyuminievaya-600ml-dlya-sporta-s-karabinom-cvetnaya-oregon-16405-26/" TargetMode="External"/><Relationship Id="rId_hyperlink_2510" Type="http://schemas.openxmlformats.org/officeDocument/2006/relationships/hyperlink" Target="https://optovikufa.ru/product/242962/butylka-alyuminievaya-750ml-dlya-sporta-s-karabinom-cvetnaya-oregon-16405-27/" TargetMode="External"/><Relationship Id="rId_hyperlink_2511" Type="http://schemas.openxmlformats.org/officeDocument/2006/relationships/hyperlink" Target="https://optovikufa.ru/product/241928/termokruzhka-metallicheskaya-450ml-s-metallicheskoy-kryshkoy-plastikovaya-ruchka-16405-31/" TargetMode="External"/><Relationship Id="rId_hyperlink_2512" Type="http://schemas.openxmlformats.org/officeDocument/2006/relationships/hyperlink" Target="https://optovikufa.ru/product/241931/termokruzhka-metallicheskaya-450ml-s-plastikovoy-kryshkoy-cvetnaya-16405-29-classic/" TargetMode="External"/><Relationship Id="rId_hyperlink_2513" Type="http://schemas.openxmlformats.org/officeDocument/2006/relationships/hyperlink" Target="https://optovikufa.ru/product/241930/termokruzhka-metallicheskaya-450ml-s-plastikovoy-kryshkoy-cvetnaya-16405-30/" TargetMode="External"/><Relationship Id="rId_hyperlink_2514" Type="http://schemas.openxmlformats.org/officeDocument/2006/relationships/hyperlink" Target="https://optovikufa.ru/product/241929/termokruzhka-metallicheskaya-450ml-s-plastikovoy-kryshkoy16405-23/" TargetMode="External"/><Relationship Id="rId_hyperlink_2515" Type="http://schemas.openxmlformats.org/officeDocument/2006/relationships/hyperlink" Target="https://optovikufa.ru/product/239316/termos-06l-600-sport-remeshokstakanchik/" TargetMode="External"/><Relationship Id="rId_hyperlink_2516" Type="http://schemas.openxmlformats.org/officeDocument/2006/relationships/hyperlink" Target="https://optovikufa.ru/product/239317/termos-08l-800-sport-remeshokstakanchik/" TargetMode="External"/><Relationship Id="rId_hyperlink_2517" Type="http://schemas.openxmlformats.org/officeDocument/2006/relationships/hyperlink" Target="https://optovikufa.ru/product/219727/termos-nerzhaveyuschaya-stal-s-uzkim-gorlom-1000ml-kryshka-klapan-chashka-bez-ruchki-16405-6/" TargetMode="External"/><Relationship Id="rId_hyperlink_2518" Type="http://schemas.openxmlformats.org/officeDocument/2006/relationships/hyperlink" Target="https://optovikufa.ru/product/235694/termos-nerzhaveyuschaya-stal-s-uzkim-gorlom-1000ml-kryshka-klapan-chashka-v-chehle-16405-9/" TargetMode="External"/><Relationship Id="rId_hyperlink_2519" Type="http://schemas.openxmlformats.org/officeDocument/2006/relationships/hyperlink" Target="https://optovikufa.ru/product/239321/termos-nerzhaveyuschaya-stal-s-uzkim-gorlom-350ml-kryshka-klapan-chashka-bez-ruchki-16405-3/" TargetMode="External"/><Relationship Id="rId_hyperlink_2520" Type="http://schemas.openxmlformats.org/officeDocument/2006/relationships/hyperlink" Target="https://optovikufa.ru/product/238864/termos-nerzhaveyuschaya-stal-s-uzkim-gorlom-500ml-kryshka-klapan-chashka-16405-32-leaf/" TargetMode="External"/><Relationship Id="rId_hyperlink_2521" Type="http://schemas.openxmlformats.org/officeDocument/2006/relationships/hyperlink" Target="https://optovikufa.ru/product/241082/termos-nerzhaveyuschaya-stal-s-uzkim-gorlom-500ml-kryshka-klapan-chashka-bez-ruchki-16405-4/" TargetMode="External"/><Relationship Id="rId_hyperlink_2522" Type="http://schemas.openxmlformats.org/officeDocument/2006/relationships/hyperlink" Target="https://optovikufa.ru/product/241083/termos-nerzhaveyuschaya-stal-s-uzkim-gorlom-500ml-kryshka-klapan-chashka-v-chehle-16405-7/" TargetMode="External"/><Relationship Id="rId_hyperlink_2523" Type="http://schemas.openxmlformats.org/officeDocument/2006/relationships/hyperlink" Target="https://optovikufa.ru/product/241403/termos-nerzhaveyuschaya-stal-s-uzkim-gorlom-600ml-kryshka-klapan-chashka-16405-18-travel/" TargetMode="External"/><Relationship Id="rId_hyperlink_2524" Type="http://schemas.openxmlformats.org/officeDocument/2006/relationships/hyperlink" Target="https://optovikufa.ru/product/241775/termos-nerzhaveyuschaya-stal-s-uzkim-gorlom-750ml-kryshka-klapan-chashka-v-chehle16405-8/" TargetMode="External"/><Relationship Id="rId_hyperlink_2525" Type="http://schemas.openxmlformats.org/officeDocument/2006/relationships/hyperlink" Target="https://optovikufa.ru/product/241932/termos-nerzhaveyuschaya-stal-s-uzkim-gorlom-750ml-kryshka-klapan-chashka-16405-19-travel/" TargetMode="External"/><Relationship Id="rId_hyperlink_2526" Type="http://schemas.openxmlformats.org/officeDocument/2006/relationships/hyperlink" Target="https://optovikufa.ru/product/219726/termos-nerzhaveyuschaya-stal-s-uzkim-gorlom-750ml-kryshka-klapan-chashka-bez-ruchki-16405-5/" TargetMode="External"/><Relationship Id="rId_hyperlink_2527" Type="http://schemas.openxmlformats.org/officeDocument/2006/relationships/hyperlink" Target="https://optovikufa.ru/product/241689/termos-umnyy-og-hog06-s-datchikom-temperatury-500ml-chernyy/" TargetMode="External"/><Relationship Id="rId_hyperlink_2528" Type="http://schemas.openxmlformats.org/officeDocument/2006/relationships/hyperlink" Target="https://optovikufa.ru/product/171002/geympad-provodnoy-defender-game-master-g2-13-knopok-dlya-pc/" TargetMode="External"/><Relationship Id="rId_hyperlink_2529" Type="http://schemas.openxmlformats.org/officeDocument/2006/relationships/hyperlink" Target="https://optovikufa.ru/product/142056/geympad-provodnoy-defender-vortex-13-knopok-usb-chernyy-dlya-pc/" TargetMode="External"/><Relationship Id="rId_hyperlink_2530" Type="http://schemas.openxmlformats.org/officeDocument/2006/relationships/hyperlink" Target="https://optovikufa.ru/product/167141/geympad-provodnoy-defender-zoom-usb-xinput-10-knopok-2-stika-dlya-pc/" TargetMode="External"/><Relationship Id="rId_hyperlink_2531" Type="http://schemas.openxmlformats.org/officeDocument/2006/relationships/hyperlink" Target="https://optovikufa.ru/product/159118/geympad-provodnoy-dialog-gp-a15-action-vibraciya-12-knopok-usb-cherno-krasnyy-dlya-pc/" TargetMode="External"/><Relationship Id="rId_hyperlink_2532" Type="http://schemas.openxmlformats.org/officeDocument/2006/relationships/hyperlink" Target="https://optovikufa.ru/product/169768/dzhoystik-dlya-dendi-forma-sega-15pin/" TargetMode="External"/><Relationship Id="rId_hyperlink_2533" Type="http://schemas.openxmlformats.org/officeDocument/2006/relationships/hyperlink" Target="https://optovikufa.ru/product/169767/dzhoystik-dlya-dendi-klassicheskiy-9pin-g1/" TargetMode="External"/><Relationship Id="rId_hyperlink_2534" Type="http://schemas.openxmlformats.org/officeDocument/2006/relationships/hyperlink" Target="https://optovikufa.ru/product/226913/chehol-zaschitnyy-dlya-xbox-one-s-silicone-case-pink/" TargetMode="External"/><Relationship Id="rId_hyperlink_2535" Type="http://schemas.openxmlformats.org/officeDocument/2006/relationships/hyperlink" Target="https://optovikufa.ru/product/226914/chehol-zaschitnyy-dlya-xbox-one-s-silicone-case-white/" TargetMode="External"/><Relationship Id="rId_hyperlink_2536" Type="http://schemas.openxmlformats.org/officeDocument/2006/relationships/hyperlink" Target="https://optovikufa.ru/product/178098/kabel-komponentnyy-dlya-ps2ps3/" TargetMode="External"/><Relationship Id="rId_hyperlink_2537" Type="http://schemas.openxmlformats.org/officeDocument/2006/relationships/hyperlink" Target="https://optovikufa.ru/product/223290/chehol-zaschitnyy-dlya-ps4-silicon-case-for-controller-blue/" TargetMode="External"/><Relationship Id="rId_hyperlink_2538" Type="http://schemas.openxmlformats.org/officeDocument/2006/relationships/hyperlink" Target="https://optovikufa.ru/product/167851/chehol-zaschitnyy-dlya-ps4-silicon-case-for-controller-camuflage-blackgreen/" TargetMode="External"/><Relationship Id="rId_hyperlink_2539" Type="http://schemas.openxmlformats.org/officeDocument/2006/relationships/hyperlink" Target="https://optovikufa.ru/product/167852/chehol-zaschitnyy-dlya-ps4-silicon-case-for-controller-camuflage-blackred/" TargetMode="External"/><Relationship Id="rId_hyperlink_2540" Type="http://schemas.openxmlformats.org/officeDocument/2006/relationships/hyperlink" Target="https://optovikufa.ru/product/224446/chehol-zaschitnyy-dlya-ps4-silicon-case-for-controller-gray/" TargetMode="External"/><Relationship Id="rId_hyperlink_2541" Type="http://schemas.openxmlformats.org/officeDocument/2006/relationships/hyperlink" Target="https://optovikufa.ru/product/224447/chehol-zaschitnyy-dlya-ps4-silicon-case-for-controller-green/" TargetMode="External"/><Relationship Id="rId_hyperlink_2542" Type="http://schemas.openxmlformats.org/officeDocument/2006/relationships/hyperlink" Target="https://optovikufa.ru/product/228049/chehol-zaschitnyy-dlya-ps4-silicon-case-for-controller-light-blue/" TargetMode="External"/><Relationship Id="rId_hyperlink_2543" Type="http://schemas.openxmlformats.org/officeDocument/2006/relationships/hyperlink" Target="https://optovikufa.ru/product/226158/chehol-zaschitnyy-dlya-ps4-silicon-case-for-controller-non-slip-black-yellow/" TargetMode="External"/><Relationship Id="rId_hyperlink_2544" Type="http://schemas.openxmlformats.org/officeDocument/2006/relationships/hyperlink" Target="https://optovikufa.ru/product/224449/chehol-zaschitnyy-dlya-ps4-silicon-case-for-controller-yellow/" TargetMode="External"/><Relationship Id="rId_hyperlink_2545" Type="http://schemas.openxmlformats.org/officeDocument/2006/relationships/hyperlink" Target="https://optovikufa.ru/product/224448/chehol-zaschitnyy-dlya-ps4-silicon-case-for-controller-prozrachnyy/" TargetMode="External"/><Relationship Id="rId_hyperlink_2546" Type="http://schemas.openxmlformats.org/officeDocument/2006/relationships/hyperlink" Target="https://optovikufa.ru/product/222885/geympad-besprovodnoy-dlya-ps3-belyy/" TargetMode="External"/><Relationship Id="rId_hyperlink_2547" Type="http://schemas.openxmlformats.org/officeDocument/2006/relationships/hyperlink" Target="https://optovikufa.ru/product/222527/geympad-besprovodnoy-dlya-ps3-krasnyy/" TargetMode="External"/><Relationship Id="rId_hyperlink_2548" Type="http://schemas.openxmlformats.org/officeDocument/2006/relationships/hyperlink" Target="https://optovikufa.ru/product/219545/geympad-besprovodnoy-dlya-ps3-seryy/" TargetMode="External"/><Relationship Id="rId_hyperlink_2549" Type="http://schemas.openxmlformats.org/officeDocument/2006/relationships/hyperlink" Target="https://optovikufa.ru/product/239602/geympad-besprovodnoy-dlya-ps3-siniy/" TargetMode="External"/><Relationship Id="rId_hyperlink_2550" Type="http://schemas.openxmlformats.org/officeDocument/2006/relationships/hyperlink" Target="https://optovikufa.ru/product/221920/geympad-besprovodnoy-dlya-ps3-haki/" TargetMode="External"/><Relationship Id="rId_hyperlink_2551" Type="http://schemas.openxmlformats.org/officeDocument/2006/relationships/hyperlink" Target="https://optovikufa.ru/product/219853/geympad-besprovodnoy-dlya-ps3-chernyy/" TargetMode="External"/><Relationship Id="rId_hyperlink_2552" Type="http://schemas.openxmlformats.org/officeDocument/2006/relationships/hyperlink" Target="https://optovikufa.ru/product/224402/geympad-besprovodnoy-orbita-169-bluetooth-15-knopok-2-stika-vibraciya-dlya-ps3-ot-pcg02-serebro/" TargetMode="External"/><Relationship Id="rId_hyperlink_2553" Type="http://schemas.openxmlformats.org/officeDocument/2006/relationships/hyperlink" Target="https://optovikufa.ru/product/224403/geympad-besprovodnoy-orbita-169-bluetooth-15-knopok-2-stika-vibraciya-dlya-ps3-ot-pcg02-siniy/" TargetMode="External"/><Relationship Id="rId_hyperlink_2554" Type="http://schemas.openxmlformats.org/officeDocument/2006/relationships/hyperlink" Target="https://optovikufa.ru/product/241324/geympad-besprovodnoy-orbita-bluetooth-vibraciya-dlya-ps3androidios-ospcg21/" TargetMode="External"/><Relationship Id="rId_hyperlink_2555" Type="http://schemas.openxmlformats.org/officeDocument/2006/relationships/hyperlink" Target="https://optovikufa.ru/product/242984/geympad-h3-besprovodnoy-dlya-telefonov-c-kronshteynom-micro/" TargetMode="External"/><Relationship Id="rId_hyperlink_2556" Type="http://schemas.openxmlformats.org/officeDocument/2006/relationships/hyperlink" Target="https://optovikufa.ru/product/238014/geympad-besprovodnoy-bluetooth-15-knopok-2-stika-vibraciya-dlya-ps4-pc-android-ios-ot-pcg12-krasnyy/" TargetMode="External"/><Relationship Id="rId_hyperlink_2557" Type="http://schemas.openxmlformats.org/officeDocument/2006/relationships/hyperlink" Target="https://optovikufa.ru/product/219952/geympad-besprovodnoy-dlya-ps4-wireless-v2-siniy/" TargetMode="External"/><Relationship Id="rId_hyperlink_2558" Type="http://schemas.openxmlformats.org/officeDocument/2006/relationships/hyperlink" Target="https://optovikufa.ru/product/219855/geympad-besprovodnoy-dlya-ps4-wireless-v2-chernyy/" TargetMode="External"/><Relationship Id="rId_hyperlink_2559" Type="http://schemas.openxmlformats.org/officeDocument/2006/relationships/hyperlink" Target="https://optovikufa.ru/product/238015/geympad-provodnoy-15-knopok-2-stika-vibraciya-dlya-ps4-pc-ot-pcg13-belyy/" TargetMode="External"/><Relationship Id="rId_hyperlink_2560" Type="http://schemas.openxmlformats.org/officeDocument/2006/relationships/hyperlink" Target="https://optovikufa.ru/product/240627/geympad-provodnoy-15-knopok-2-stika-vibraciya-dlya-ps4-pc-ot-pcg13-siniy/" TargetMode="External"/><Relationship Id="rId_hyperlink_2561" Type="http://schemas.openxmlformats.org/officeDocument/2006/relationships/hyperlink" Target="https://optovikufa.ru/product/171992/blok-pitaniya-10v-1000ma-dlya-dendi-i-segi-obratnaya-polyarnost-shteker-55x25mm-1010/" TargetMode="External"/><Relationship Id="rId_hyperlink_2562" Type="http://schemas.openxmlformats.org/officeDocument/2006/relationships/hyperlink" Target="https://optovikufa.ru/product/232834/blok-pitaniya-5v-dlya-dendi-i-segi-obratnaya-polyarnost-55h25mm/" TargetMode="External"/><Relationship Id="rId_hyperlink_2563" Type="http://schemas.openxmlformats.org/officeDocument/2006/relationships/hyperlink" Target="https://optovikufa.ru/product/235742/blok-pitaniya-5v-dlya-segi-hamy-55h21mm/" TargetMode="External"/><Relationship Id="rId_hyperlink_2564" Type="http://schemas.openxmlformats.org/officeDocument/2006/relationships/hyperlink" Target="https://optovikufa.ru/product/233869/geympad-besprovodnoy-ipega-pg-9217a/" TargetMode="External"/><Relationship Id="rId_hyperlink_2565" Type="http://schemas.openxmlformats.org/officeDocument/2006/relationships/hyperlink" Target="https://optovikufa.ru/product/228351/napalchniki-sensornye-dlya-igr-na-smartfone/" TargetMode="External"/><Relationship Id="rId_hyperlink_2566" Type="http://schemas.openxmlformats.org/officeDocument/2006/relationships/hyperlink" Target="https://optovikufa.ru/product/233876/geympad-besprovodnoy-bluetooth-15-knopok-2-stika-vibraciya-dlya-ps4-pc-android-ios-ot-pcg12-chernyy/" TargetMode="External"/><Relationship Id="rId_hyperlink_2567" Type="http://schemas.openxmlformats.org/officeDocument/2006/relationships/hyperlink" Target="https://optovikufa.ru/product/233874/geympad-besprovodnoy-ipega-pg-sw018a-sovmestimost-ps3-pc-android/" TargetMode="External"/><Relationship Id="rId_hyperlink_2568" Type="http://schemas.openxmlformats.org/officeDocument/2006/relationships/hyperlink" Target="https://optovikufa.ru/product/233875/geympad-besprovodnoy-ipega-pg-sw038a-sovmestimost-ps3-pc-android/" TargetMode="External"/><Relationship Id="rId_hyperlink_2569" Type="http://schemas.openxmlformats.org/officeDocument/2006/relationships/hyperlink" Target="https://optovikufa.ru/product/233877/geympad-provodnoy-15-knopok-2-stika-vibraciya-dlya-ps4-pc-ot-pcg13-chernyy/" TargetMode="External"/><Relationship Id="rId_hyperlink_2570" Type="http://schemas.openxmlformats.org/officeDocument/2006/relationships/hyperlink" Target="https://optovikufa.ru/product/242983/igrovaya-portativnaya-pristavka-s10-520v1chernaya-aux-2rca/" TargetMode="External"/><Relationship Id="rId_hyperlink_2571" Type="http://schemas.openxmlformats.org/officeDocument/2006/relationships/hyperlink" Target="https://optovikufa.ru/product/183922/igrovaya-pristavka-16-bit-ii-368-vstroennyh-igr-chernaya/" TargetMode="External"/><Relationship Id="rId_hyperlink_2572" Type="http://schemas.openxmlformats.org/officeDocument/2006/relationships/hyperlink" Target="https://optovikufa.ru/product/242985/igrovaya-pristavka-16-bit-ii-500-vstroennyh-igr-zelenaya/" TargetMode="External"/><Relationship Id="rId_hyperlink_2573" Type="http://schemas.openxmlformats.org/officeDocument/2006/relationships/hyperlink" Target="https://optovikufa.ru/product/235128/ampermetr-elektronnyy-0-100a-ac-krasnoe-svechenie-dms-215/" TargetMode="External"/><Relationship Id="rId_hyperlink_2574" Type="http://schemas.openxmlformats.org/officeDocument/2006/relationships/hyperlink" Target="https://optovikufa.ru/product/221252/voltmetr-cifrovoy-ac-uvh12-500acv2-80gc-peremen-tri-cifry-zelenyy-dms-143/" TargetMode="External"/><Relationship Id="rId_hyperlink_2575" Type="http://schemas.openxmlformats.org/officeDocument/2006/relationships/hyperlink" Target="https://optovikufa.ru/product/237442/voltmetr-cifrovoy-ac-uvh20-500acv-peremen-tri-cifry-kruglyy-ekran-oranzhevyy-dms-132/" TargetMode="External"/><Relationship Id="rId_hyperlink_2576" Type="http://schemas.openxmlformats.org/officeDocument/2006/relationships/hyperlink" Target="https://optovikufa.ru/product/240888/voltmetr-cifrovoy-n-dc-upit4-40v-uizm0-100v-02822h10h8mm-2pin-tri-cifry-sinie/" TargetMode="External"/><Relationship Id="rId_hyperlink_2577" Type="http://schemas.openxmlformats.org/officeDocument/2006/relationships/hyperlink" Target="https://optovikufa.ru/product/140839/voltmetr-cifrovoy-dc-uvh35-30v-02822h10h8mm-2pin-tri-cifry-krasnye/" TargetMode="External"/><Relationship Id="rId_hyperlink_2578" Type="http://schemas.openxmlformats.org/officeDocument/2006/relationships/hyperlink" Target="https://optovikufa.ru/product/140840/voltmetr-cifrovoy-dc-uvh35-30v-02822h10h8mm-2pin-tri-cifry-sinie/" TargetMode="External"/><Relationship Id="rId_hyperlink_2579" Type="http://schemas.openxmlformats.org/officeDocument/2006/relationships/hyperlink" Target="https://optovikufa.ru/product/166711/voltmetr-cifrovoy-dc-uvh45-30v-036215x13x8mm-2pin-tri-cifry-krasnye/" TargetMode="External"/><Relationship Id="rId_hyperlink_2580" Type="http://schemas.openxmlformats.org/officeDocument/2006/relationships/hyperlink" Target="https://optovikufa.ru/product/233477/voltmetr-cifrovoy-dc-uizm4-100v-05648x29x22mm-3pin-3-cifry-zelenye/" TargetMode="External"/><Relationship Id="rId_hyperlink_2581" Type="http://schemas.openxmlformats.org/officeDocument/2006/relationships/hyperlink" Target="https://optovikufa.ru/product/231309/multimetr-cifrovoy-25/" TargetMode="External"/><Relationship Id="rId_hyperlink_2582" Type="http://schemas.openxmlformats.org/officeDocument/2006/relationships/hyperlink" Target="https://optovikufa.ru/product/231310/multimetr-cifrovoy-25/" TargetMode="External"/><Relationship Id="rId_hyperlink_2583" Type="http://schemas.openxmlformats.org/officeDocument/2006/relationships/hyperlink" Target="https://optovikufa.ru/product/174248/multimetr-cifrovoy-26/" TargetMode="External"/><Relationship Id="rId_hyperlink_2584" Type="http://schemas.openxmlformats.org/officeDocument/2006/relationships/hyperlink" Target="https://optovikufa.ru/product/144256/multimetr-cifrovoy-dt-700b-ot-inm23/" TargetMode="External"/><Relationship Id="rId_hyperlink_2585" Type="http://schemas.openxmlformats.org/officeDocument/2006/relationships/hyperlink" Target="https://optovikufa.ru/product/173854/multimetr-cifrovoy-dt-700d-ot-inm24/" TargetMode="External"/><Relationship Id="rId_hyperlink_2586" Type="http://schemas.openxmlformats.org/officeDocument/2006/relationships/hyperlink" Target="https://optovikufa.ru/product/233497/multimetr-cifrovoy-dt-830b-dream/" TargetMode="External"/><Relationship Id="rId_hyperlink_2587" Type="http://schemas.openxmlformats.org/officeDocument/2006/relationships/hyperlink" Target="https://optovikufa.ru/product/127272/multimetr-cifrovoy-dt-832-signal-prozvonki/" TargetMode="External"/><Relationship Id="rId_hyperlink_2588" Type="http://schemas.openxmlformats.org/officeDocument/2006/relationships/hyperlink" Target="https://optovikufa.ru/product/160838/multimetr-cifrovoy-dt-9205a/" TargetMode="External"/><Relationship Id="rId_hyperlink_2589" Type="http://schemas.openxmlformats.org/officeDocument/2006/relationships/hyperlink" Target="https://optovikufa.ru/product/148438/multimetr-cifrovoy-dt-9208a-ot-inm29/" TargetMode="External"/><Relationship Id="rId_hyperlink_2590" Type="http://schemas.openxmlformats.org/officeDocument/2006/relationships/hyperlink" Target="https://optovikufa.ru/product/231573/multimetr-cifrovoy-energy-power-xl830l-v-kaloshe/" TargetMode="External"/><Relationship Id="rId_hyperlink_2591" Type="http://schemas.openxmlformats.org/officeDocument/2006/relationships/hyperlink" Target="https://optovikufa.ru/product/240673/multimetr-cifrovoy-lp-838-live-power/" TargetMode="External"/><Relationship Id="rId_hyperlink_2592" Type="http://schemas.openxmlformats.org/officeDocument/2006/relationships/hyperlink" Target="https://optovikufa.ru/product/173727/multimetr-cifrovoy-m838-ot-inm14/" TargetMode="External"/><Relationship Id="rId_hyperlink_2593" Type="http://schemas.openxmlformats.org/officeDocument/2006/relationships/hyperlink" Target="https://optovikufa.ru/product/159095/multimetr-cifrovoy-m838p-ot-inm15/" TargetMode="External"/><Relationship Id="rId_hyperlink_2594" Type="http://schemas.openxmlformats.org/officeDocument/2006/relationships/hyperlink" Target="https://optovikufa.ru/product/128808/multimetr-cifrovoy-md830-ot-inm10/" TargetMode="External"/><Relationship Id="rId_hyperlink_2595" Type="http://schemas.openxmlformats.org/officeDocument/2006/relationships/hyperlink" Target="https://optovikufa.ru/product/159093/multimetr-cifrovoy-md830p-ot-inm11/" TargetMode="External"/><Relationship Id="rId_hyperlink_2596" Type="http://schemas.openxmlformats.org/officeDocument/2006/relationships/hyperlink" Target="https://optovikufa.ru/product/225988/multimetr-cifrovoy-ot-inm30/" TargetMode="External"/><Relationship Id="rId_hyperlink_2597" Type="http://schemas.openxmlformats.org/officeDocument/2006/relationships/hyperlink" Target="https://optovikufa.ru/product/237965/multimetr-cifrovoy-robiton-master-amm-001/" TargetMode="External"/><Relationship Id="rId_hyperlink_2598" Type="http://schemas.openxmlformats.org/officeDocument/2006/relationships/hyperlink" Target="https://optovikufa.ru/product/228051/multimetr-cifrovoy-robiton-master-dmm-100/" TargetMode="External"/><Relationship Id="rId_hyperlink_2599" Type="http://schemas.openxmlformats.org/officeDocument/2006/relationships/hyperlink" Target="https://optovikufa.ru/product/228053/multimetr-cifrovoy-robiton-master-dmm-250-signal-prozvonki-datchik-tempiratury/" TargetMode="External"/><Relationship Id="rId_hyperlink_2600" Type="http://schemas.openxmlformats.org/officeDocument/2006/relationships/hyperlink" Target="https://optovikufa.ru/product/228054/multimetr-cifrovoy-robiton-master-dmm-500/" TargetMode="External"/><Relationship Id="rId_hyperlink_2601" Type="http://schemas.openxmlformats.org/officeDocument/2006/relationships/hyperlink" Target="https://optovikufa.ru/product/222587/multimetr-cifrovoy-robiton-master-dmm-850-bl-1/" TargetMode="External"/><Relationship Id="rId_hyperlink_2602" Type="http://schemas.openxmlformats.org/officeDocument/2006/relationships/hyperlink" Target="https://optovikufa.ru/product/241312/multimetr-cifrovoy-true-rms-ot-inm38/" TargetMode="External"/><Relationship Id="rId_hyperlink_2603" Type="http://schemas.openxmlformats.org/officeDocument/2006/relationships/hyperlink" Target="https://optovikufa.ru/product/238699/multimetr-cifrovoy-xl830l/" TargetMode="External"/><Relationship Id="rId_hyperlink_2604" Type="http://schemas.openxmlformats.org/officeDocument/2006/relationships/hyperlink" Target="https://optovikufa.ru/product/240463/multimetr-cifrovoy-avtomaticheskiy-true-rms-zt98/" TargetMode="External"/><Relationship Id="rId_hyperlink_2605" Type="http://schemas.openxmlformats.org/officeDocument/2006/relationships/hyperlink" Target="https://optovikufa.ru/product/240466/multimetr-cifrovoy-s-kabel-testerom-dt4300b/" TargetMode="External"/><Relationship Id="rId_hyperlink_2606" Type="http://schemas.openxmlformats.org/officeDocument/2006/relationships/hyperlink" Target="https://optovikufa.ru/product/226929/multimetr-cifrovoy-avtomaticheskiy-vybor-predelov-zt-c1-true-rms/" TargetMode="External"/><Relationship Id="rId_hyperlink_2607" Type="http://schemas.openxmlformats.org/officeDocument/2006/relationships/hyperlink" Target="https://optovikufa.ru/product/234506/multimetr-cifrovoy-dt-182/" TargetMode="External"/><Relationship Id="rId_hyperlink_2608" Type="http://schemas.openxmlformats.org/officeDocument/2006/relationships/hyperlink" Target="https://optovikufa.ru/product/228228/multimetr-cifrovoy-m830d-v-kaloshe/" TargetMode="External"/><Relationship Id="rId_hyperlink_2609" Type="http://schemas.openxmlformats.org/officeDocument/2006/relationships/hyperlink" Target="https://optovikufa.ru/product/240588/zazhimy-kryuk-dlya-multimetra-komplekt-2sht/" TargetMode="External"/><Relationship Id="rId_hyperlink_2610" Type="http://schemas.openxmlformats.org/officeDocument/2006/relationships/hyperlink" Target="https://optovikufa.ru/product/237966/termoschupy-dlya-multimetrov-robiton-master-tl-03/" TargetMode="External"/><Relationship Id="rId_hyperlink_2611" Type="http://schemas.openxmlformats.org/officeDocument/2006/relationships/hyperlink" Target="https://optovikufa.ru/product/241901/schup-pincet-dream-tl03-dlya-multimetra-dlya-smd-komponentov/" TargetMode="External"/><Relationship Id="rId_hyperlink_2612" Type="http://schemas.openxmlformats.org/officeDocument/2006/relationships/hyperlink" Target="https://optovikufa.ru/product/221575/schupy-dlya-multimetra-s-krokodilami-1000v-pvc-dlina-provoda-1100mm-kosoy-shteker-dlina-schupa-13mm/" TargetMode="External"/><Relationship Id="rId_hyperlink_2613" Type="http://schemas.openxmlformats.org/officeDocument/2006/relationships/hyperlink" Target="https://optovikufa.ru/product/123337/schupy-dlya-multimetra-komplekt-nakonechnikov-1000v-pvc-dlina-provoda-950mm/" TargetMode="External"/><Relationship Id="rId_hyperlink_2614" Type="http://schemas.openxmlformats.org/officeDocument/2006/relationships/hyperlink" Target="https://optovikufa.ru/product/131427/schupy-dlya-multimetra-universalnye-1000v-pvc-dlina-provoda-1100mm-shteker-uglovoy-schup-13mm/" TargetMode="External"/><Relationship Id="rId_hyperlink_2615" Type="http://schemas.openxmlformats.org/officeDocument/2006/relationships/hyperlink" Target="https://optovikufa.ru/product/238609/schupy-dlya-multimetrov-s-krokodilami-dlina-1m-2-sht-krasnyy-chernyy/" TargetMode="External"/><Relationship Id="rId_hyperlink_2616" Type="http://schemas.openxmlformats.org/officeDocument/2006/relationships/hyperlink" Target="https://optovikufa.ru/product/236749/schupy-dlya-multimetrov-uglovye-tl01-dream/" TargetMode="External"/><Relationship Id="rId_hyperlink_2617" Type="http://schemas.openxmlformats.org/officeDocument/2006/relationships/hyperlink" Target="https://optovikufa.ru/product/242093/schupy-dlya-multimetrov-uglovye-tl02-20a-dream/" TargetMode="External"/><Relationship Id="rId_hyperlink_2618" Type="http://schemas.openxmlformats.org/officeDocument/2006/relationships/hyperlink" Target="https://optovikufa.ru/product/241676/schupy-dlya-oscillografa-s-krokodilami-dlina-1m/" TargetMode="External"/><Relationship Id="rId_hyperlink_2619" Type="http://schemas.openxmlformats.org/officeDocument/2006/relationships/hyperlink" Target="https://optovikufa.ru/product/241400/beskontaktnyy-detektor-napryazheniya-lit/" TargetMode="External"/><Relationship Id="rId_hyperlink_2620" Type="http://schemas.openxmlformats.org/officeDocument/2006/relationships/hyperlink" Target="https://optovikufa.ru/product/225222/beskontaktnyy-detektor-napryazheniya-robiton-vt-007/" TargetMode="External"/><Relationship Id="rId_hyperlink_2621" Type="http://schemas.openxmlformats.org/officeDocument/2006/relationships/hyperlink" Target="https://optovikufa.ru/product/174409/otvertka-indikator-vd04-do-250v/" TargetMode="External"/><Relationship Id="rId_hyperlink_2622" Type="http://schemas.openxmlformats.org/officeDocument/2006/relationships/hyperlink" Target="https://optovikufa.ru/product/239473/otvertka-indikatornaya-135mm-shlicevaya-sert-ispytaniya-smartbuy-sbt-sct-135op1/" TargetMode="External"/><Relationship Id="rId_hyperlink_2623" Type="http://schemas.openxmlformats.org/officeDocument/2006/relationships/hyperlink" Target="https://optovikufa.ru/product/178421/otvertka-indikatornaya-135mm-shlicevaya-sert-ispytaniya-smartbuy-sbt-sct-t135p1/" TargetMode="External"/><Relationship Id="rId_hyperlink_2624" Type="http://schemas.openxmlformats.org/officeDocument/2006/relationships/hyperlink" Target="https://optovikufa.ru/product/239444/otvertka-indikatornaya-140mm-shlicevaya-sert-ispytaniya-smartbuy-sbt-sct-op2/" TargetMode="External"/><Relationship Id="rId_hyperlink_2625" Type="http://schemas.openxmlformats.org/officeDocument/2006/relationships/hyperlink" Target="https://optovikufa.ru/product/178422/otvertka-indikatornaya-150mm-shlicevaya-protokol-ispytaniya-smartbuy/" TargetMode="External"/><Relationship Id="rId_hyperlink_2626" Type="http://schemas.openxmlformats.org/officeDocument/2006/relationships/hyperlink" Target="https://optovikufa.ru/product/178423/otvertka-indikatornaya-150mm-shlicevaya-sert-ispytaniya-smartbuy/" TargetMode="External"/><Relationship Id="rId_hyperlink_2627" Type="http://schemas.openxmlformats.org/officeDocument/2006/relationships/hyperlink" Target="https://optovikufa.ru/product/218044/otvertka-indikatornaya-robiton-vt-005-mnogofunkcionalnyy-indikator-napryazheniya/" TargetMode="External"/><Relationship Id="rId_hyperlink_2628" Type="http://schemas.openxmlformats.org/officeDocument/2006/relationships/hyperlink" Target="https://optovikufa.ru/product/166626/otvertka-indikatornaya-tester-mnogofunkcionalnyy-svetodiod-ms-18/" TargetMode="External"/><Relationship Id="rId_hyperlink_2629" Type="http://schemas.openxmlformats.org/officeDocument/2006/relationships/hyperlink" Target="https://optovikufa.ru/product/231831/tester-rozetok-robiton-st-01/" TargetMode="External"/><Relationship Id="rId_hyperlink_2630" Type="http://schemas.openxmlformats.org/officeDocument/2006/relationships/hyperlink" Target="https://optovikufa.ru/product/129378/multimetr-digital-3266l-ot-inm21-izmerenie-postoyannogoperemennogo-napryazheniya-soprotivleniya-chastoty-elektroemkosti-testirovanie-diodov-tranzistorov-kleschi/" TargetMode="External"/><Relationship Id="rId_hyperlink_2631" Type="http://schemas.openxmlformats.org/officeDocument/2006/relationships/hyperlink" Target="https://optovikufa.ru/product/231311/multimetr-cifrovoy-25/" TargetMode="External"/><Relationship Id="rId_hyperlink_2632" Type="http://schemas.openxmlformats.org/officeDocument/2006/relationships/hyperlink" Target="https://optovikufa.ru/product/237799/multimetr-cifrovoy-kleschi-st201-chehol/" TargetMode="External"/><Relationship Id="rId_hyperlink_2633" Type="http://schemas.openxmlformats.org/officeDocument/2006/relationships/hyperlink" Target="https://optovikufa.ru/product/237800/multimetr-kleschi-tokoizmeritelnye-dt-266/" TargetMode="External"/><Relationship Id="rId_hyperlink_2634" Type="http://schemas.openxmlformats.org/officeDocument/2006/relationships/hyperlink" Target="https://optovikufa.ru/product/231661/multimetr-kleschi-tokoizmeritelnye-dt266/" TargetMode="External"/><Relationship Id="rId_hyperlink_2635" Type="http://schemas.openxmlformats.org/officeDocument/2006/relationships/hyperlink" Target="https://optovikufa.ru/product/224021/multimetr-kleschi-tokoizmeritelnye-m-266-spark-lux/" TargetMode="External"/><Relationship Id="rId_hyperlink_2636" Type="http://schemas.openxmlformats.org/officeDocument/2006/relationships/hyperlink" Target="https://optovikufa.ru/product/226557/multimetr-kleschi-tokoizmeritelnye-robiton-master-dmm-950/" TargetMode="External"/><Relationship Id="rId_hyperlink_2637" Type="http://schemas.openxmlformats.org/officeDocument/2006/relationships/hyperlink" Target="https://optovikufa.ru/product/227717/dalnomer-ultrazvukovoy-ot-inm37-wh1005/" TargetMode="External"/><Relationship Id="rId_hyperlink_2638" Type="http://schemas.openxmlformats.org/officeDocument/2006/relationships/hyperlink" Target="https://optovikufa.ru/product/241814/besprovodnoy-akkumulyatornyy-graver-nabor-nasadok-sg-02/" TargetMode="External"/><Relationship Id="rId_hyperlink_2639" Type="http://schemas.openxmlformats.org/officeDocument/2006/relationships/hyperlink" Target="https://optovikufa.ru/product/224052/gazovaya-gorelka-c-pezopodzhigom-ricas-816/" TargetMode="External"/><Relationship Id="rId_hyperlink_2640" Type="http://schemas.openxmlformats.org/officeDocument/2006/relationships/hyperlink" Target="https://optovikufa.ru/product/221250/gorelka-gazovaya-na-cangovyy-ballon-s-pezopodzhigom-master-1005/" TargetMode="External"/><Relationship Id="rId_hyperlink_2641" Type="http://schemas.openxmlformats.org/officeDocument/2006/relationships/hyperlink" Target="https://optovikufa.ru/product/221247/gorelka-gazovaya-na-cangovyy-ballon-s-pezopodzhigom-metall-flame-gun-9001/" TargetMode="External"/><Relationship Id="rId_hyperlink_2642" Type="http://schemas.openxmlformats.org/officeDocument/2006/relationships/hyperlink" Target="https://optovikufa.ru/product/221248/gorelka-gazovaya-na-cangovyy-ballon-s-pezopodzhigom-s-rukoyatyu-master-tk-102/" TargetMode="External"/><Relationship Id="rId_hyperlink_2643" Type="http://schemas.openxmlformats.org/officeDocument/2006/relationships/hyperlink" Target="https://optovikufa.ru/product/238910/gazovaya-gorelka-flame-gun-8013/" TargetMode="External"/><Relationship Id="rId_hyperlink_2644" Type="http://schemas.openxmlformats.org/officeDocument/2006/relationships/hyperlink" Target="https://optovikufa.ru/product/227536/gorelka-gazovaya-na-cangovyy-ballon-19546sm-333-098/" TargetMode="External"/><Relationship Id="rId_hyperlink_2645" Type="http://schemas.openxmlformats.org/officeDocument/2006/relationships/hyperlink" Target="https://optovikufa.ru/product/223797/gorelka-gazovaya-na-cangovyy-ballon-soplo-17mm-13655sm-chingizhan/" TargetMode="External"/><Relationship Id="rId_hyperlink_2646" Type="http://schemas.openxmlformats.org/officeDocument/2006/relationships/hyperlink" Target="https://optovikufa.ru/product/223798/gorelka-gazovaya-na-cangovyy-ballon-soplo-23mm-18655sm-chingizhan/" TargetMode="External"/><Relationship Id="rId_hyperlink_2647" Type="http://schemas.openxmlformats.org/officeDocument/2006/relationships/hyperlink" Target="https://optovikufa.ru/product/140613/gorelka-gazovaya-na-cangovyy-ballon-ruchnoy-podzhig-kovea-kt-2008-rocket-torch/" TargetMode="External"/><Relationship Id="rId_hyperlink_2648" Type="http://schemas.openxmlformats.org/officeDocument/2006/relationships/hyperlink" Target="https://optovikufa.ru/product/154179/gaz-ballon-220gr-universalnaya-smes-sibiar/" TargetMode="External"/><Relationship Id="rId_hyperlink_2649" Type="http://schemas.openxmlformats.org/officeDocument/2006/relationships/hyperlink" Target="https://optovikufa.ru/product/223141/gaz-universalnyy-220gr-vsesezonnyy/" TargetMode="External"/><Relationship Id="rId_hyperlink_2650" Type="http://schemas.openxmlformats.org/officeDocument/2006/relationships/hyperlink" Target="https://optovikufa.ru/product/237665/zazhigalka-gazovaya-djeep-3000-podzhigov-zazhigayu-s-gordostyu-up-10-shtuk/" TargetMode="External"/><Relationship Id="rId_hyperlink_2651" Type="http://schemas.openxmlformats.org/officeDocument/2006/relationships/hyperlink" Target="https://optovikufa.ru/product/237668/zazhigalka-gazovaya-djeep-3000-podzhigov-malenkaya-golubaya/" TargetMode="External"/><Relationship Id="rId_hyperlink_2652" Type="http://schemas.openxmlformats.org/officeDocument/2006/relationships/hyperlink" Target="https://optovikufa.ru/product/237667/zazhigalka-gazovaya-djeep-3000-podzhigov-malenkaya-sinyaya/" TargetMode="External"/><Relationship Id="rId_hyperlink_2653" Type="http://schemas.openxmlformats.org/officeDocument/2006/relationships/hyperlink" Target="https://optovikufa.ru/product/237666/zazhigalka-gazovaya-djeep-3000-podzhigov-serebristaya-up-10-shtuk/" TargetMode="External"/><Relationship Id="rId_hyperlink_2654" Type="http://schemas.openxmlformats.org/officeDocument/2006/relationships/hyperlink" Target="https://optovikufa.ru/product/237664/zazhigalka-gazovaya-djeep-3000-podzhigov-sinyaya-up-10-shtuk/" TargetMode="External"/><Relationship Id="rId_hyperlink_2655" Type="http://schemas.openxmlformats.org/officeDocument/2006/relationships/hyperlink" Target="https://optovikufa.ru/product/237670/zazhigalka-gazovaya-hromirovannyy-metall-zapravlyaemaya/" TargetMode="External"/><Relationship Id="rId_hyperlink_2656" Type="http://schemas.openxmlformats.org/officeDocument/2006/relationships/hyperlink" Target="https://optovikufa.ru/product/239950/respirator-1-filtr-ochistki-primenyaetsya-pri-raspylenii-himikatov-pri-pokraske/" TargetMode="External"/><Relationship Id="rId_hyperlink_2657" Type="http://schemas.openxmlformats.org/officeDocument/2006/relationships/hyperlink" Target="https://optovikufa.ru/product/224711/respirator-2-filtra-ochistki-primenyaetsya-pri-raspylenii-himikatov-pri-pokraske/" TargetMode="External"/><Relationship Id="rId_hyperlink_2658" Type="http://schemas.openxmlformats.org/officeDocument/2006/relationships/hyperlink" Target="https://optovikufa.ru/product/230207/ochki-zaschitnye-x-pert-prozrachnye-s-siney-duzhkoy-spark-lux-sl-185/" TargetMode="External"/><Relationship Id="rId_hyperlink_2659" Type="http://schemas.openxmlformats.org/officeDocument/2006/relationships/hyperlink" Target="https://optovikufa.ru/product/226159/ochki-zaschitnye-x-pert-prozrachnye-s-shirokoy-duzhkoy-sn-002/" TargetMode="External"/><Relationship Id="rId_hyperlink_2660" Type="http://schemas.openxmlformats.org/officeDocument/2006/relationships/hyperlink" Target="https://optovikufa.ru/product/226162/ochki-zaschitnye-zakrytogo-tipa-safety-goggles-silikonovye-na-rezinke/" TargetMode="External"/><Relationship Id="rId_hyperlink_2661" Type="http://schemas.openxmlformats.org/officeDocument/2006/relationships/hyperlink" Target="https://optovikufa.ru/product/234292/ochki-zaschitnye-prozrachnye-s-zheltoy-duzhkoy/" TargetMode="External"/><Relationship Id="rId_hyperlink_2662" Type="http://schemas.openxmlformats.org/officeDocument/2006/relationships/hyperlink" Target="https://optovikufa.ru/product/226091/schitok-zaschitnyy-licevoy-s-kozyrkom-setchatyy/" TargetMode="External"/><Relationship Id="rId_hyperlink_2663" Type="http://schemas.openxmlformats.org/officeDocument/2006/relationships/hyperlink" Target="https://optovikufa.ru/product/241287/kragi-spilkovye-zheltye-x-pert-s-mehovoy-podkladkoy/" TargetMode="External"/><Relationship Id="rId_hyperlink_2664" Type="http://schemas.openxmlformats.org/officeDocument/2006/relationships/hyperlink" Target="https://optovikufa.ru/product/241285/kragi-spilkovye-krasnye-x-pert/" TargetMode="External"/><Relationship Id="rId_hyperlink_2665" Type="http://schemas.openxmlformats.org/officeDocument/2006/relationships/hyperlink" Target="https://optovikufa.ru/product/241286/kragi-spilkovye-serye-x-pert/" TargetMode="External"/><Relationship Id="rId_hyperlink_2666" Type="http://schemas.openxmlformats.org/officeDocument/2006/relationships/hyperlink" Target="https://optovikufa.ru/product/240326/perchatki-lateksnye-odinarnyy-obliv-sinie-a-42-spark-lux/" TargetMode="External"/><Relationship Id="rId_hyperlink_2667" Type="http://schemas.openxmlformats.org/officeDocument/2006/relationships/hyperlink" Target="https://optovikufa.ru/product/241976/perchatki-rabochie-spark-lux-obliv-penka-sinie-palchiki-sero-sinie-a-23-12/" TargetMode="External"/><Relationship Id="rId_hyperlink_2668" Type="http://schemas.openxmlformats.org/officeDocument/2006/relationships/hyperlink" Target="https://optovikufa.ru/product/241284/perchatki-rabochie-spark-lux-lateksobliv-fioletpalch-fioletovo-oranzh-a-38-12/" TargetMode="External"/><Relationship Id="rId_hyperlink_2669" Type="http://schemas.openxmlformats.org/officeDocument/2006/relationships/hyperlink" Target="https://optovikufa.ru/product/241282/perchatki-rabochie-spark-lux-odinarnyy-lateksnyy-obliv-sinie-a-42-12/" TargetMode="External"/><Relationship Id="rId_hyperlink_2670" Type="http://schemas.openxmlformats.org/officeDocument/2006/relationships/hyperlink" Target="https://optovikufa.ru/product/241281/perchatki-rabochie-spark-lux-odinarnyy-obliv-penka-chern-oranzh-a-9-12/" TargetMode="External"/><Relationship Id="rId_hyperlink_2671" Type="http://schemas.openxmlformats.org/officeDocument/2006/relationships/hyperlink" Target="https://optovikufa.ru/product/241280/perchatki-rabochie-x-pert-neylonovye-tochka-10klass-chernye-12/" TargetMode="External"/><Relationship Id="rId_hyperlink_2672" Type="http://schemas.openxmlformats.org/officeDocument/2006/relationships/hyperlink" Target="https://optovikufa.ru/product/227795/perchatki-hb-s-pvh-leiki-belye-10-klass-70063/" TargetMode="External"/><Relationship Id="rId_hyperlink_2673" Type="http://schemas.openxmlformats.org/officeDocument/2006/relationships/hyperlink" Target="https://optovikufa.ru/product/238874/perchatki-hb-s-pvh-lider-teks-3-nitki-10-klass/" TargetMode="External"/><Relationship Id="rId_hyperlink_2674" Type="http://schemas.openxmlformats.org/officeDocument/2006/relationships/hyperlink" Target="https://optovikufa.ru/product/238946/perchatki-kragi-svarschika-vse-sezonnye-krasnye-35-sm-198gr-29443/" TargetMode="External"/><Relationship Id="rId_hyperlink_2675" Type="http://schemas.openxmlformats.org/officeDocument/2006/relationships/hyperlink" Target="https://optovikufa.ru/product/238947/perchatki-kragi-svarschika-silikonovye-vse-sezonnye-zheltye-35-sm-290gr-47365/" TargetMode="External"/><Relationship Id="rId_hyperlink_2676" Type="http://schemas.openxmlformats.org/officeDocument/2006/relationships/hyperlink" Target="https://optovikufa.ru/product/240114/lineyka-mnogofunkcionalnaya-s-urovnem-300mm/" TargetMode="External"/><Relationship Id="rId_hyperlink_2677" Type="http://schemas.openxmlformats.org/officeDocument/2006/relationships/hyperlink" Target="https://optovikufa.ru/product/233293/karandash-malyarnyy-razmetochnyy-lit-cena-za-1sht/" TargetMode="External"/><Relationship Id="rId_hyperlink_2678" Type="http://schemas.openxmlformats.org/officeDocument/2006/relationships/hyperlink" Target="https://optovikufa.ru/product/237862/karandash-malyarnyy-razmetochnyy-x-pert-180mm-upakovka-12sht/" TargetMode="External"/><Relationship Id="rId_hyperlink_2679" Type="http://schemas.openxmlformats.org/officeDocument/2006/relationships/hyperlink" Target="https://optovikufa.ru/product/237873/ruletka-10m-h25mm-s-treschotmehanizmom-usilennyy-zacep-x-pert/" TargetMode="External"/><Relationship Id="rId_hyperlink_2680" Type="http://schemas.openxmlformats.org/officeDocument/2006/relationships/hyperlink" Target="https://optovikufa.ru/product/242322/ruletka-3m-h16mm-udaroprochnyy-korpus-usilennyy-zacep-x-pert/" TargetMode="External"/><Relationship Id="rId_hyperlink_2681" Type="http://schemas.openxmlformats.org/officeDocument/2006/relationships/hyperlink" Target="https://optovikufa.ru/product/233422/ruletka-3m-h19mm-s-treschotmehanizmom-usilennyy-zacep-x-pert/" TargetMode="External"/><Relationship Id="rId_hyperlink_2682" Type="http://schemas.openxmlformats.org/officeDocument/2006/relationships/hyperlink" Target="https://optovikufa.ru/product/242323/ruletka-5m-h19mm-udaroprochnyy-korpus-usilennyy-zacep-x-pert/" TargetMode="External"/><Relationship Id="rId_hyperlink_2683" Type="http://schemas.openxmlformats.org/officeDocument/2006/relationships/hyperlink" Target="https://optovikufa.ru/product/178420/ruletka-5m-h25mm-plastikovyy-udaroprochnyy-korpus-usilennyy-zacep-smartbuy-tools/" TargetMode="External"/><Relationship Id="rId_hyperlink_2684" Type="http://schemas.openxmlformats.org/officeDocument/2006/relationships/hyperlink" Target="https://optovikufa.ru/product/242324/ruletka-75m-h25mm-udaroprochnyy-korpus-usilennyy-zacep-x-pert/" TargetMode="External"/><Relationship Id="rId_hyperlink_2685" Type="http://schemas.openxmlformats.org/officeDocument/2006/relationships/hyperlink" Target="https://optovikufa.ru/product/242325/ruletka-10m-h25mm-udaroprochnyy-korpus-usilennyy-zacep-x-pert/" TargetMode="External"/><Relationship Id="rId_hyperlink_2686" Type="http://schemas.openxmlformats.org/officeDocument/2006/relationships/hyperlink" Target="https://optovikufa.ru/product/242470/ruletka-3m-1-fiksator-obrezkorpus-lit/" TargetMode="External"/><Relationship Id="rId_hyperlink_2687" Type="http://schemas.openxmlformats.org/officeDocument/2006/relationships/hyperlink" Target="https://optovikufa.ru/product/242471/ruletka-3m-3-fiksatora-obrezkorpus-magnit-lit/" TargetMode="External"/><Relationship Id="rId_hyperlink_2688" Type="http://schemas.openxmlformats.org/officeDocument/2006/relationships/hyperlink" Target="https://optovikufa.ru/product/242472/ruletka-5m-1-fiksator-obrezkorpus-lit/" TargetMode="External"/><Relationship Id="rId_hyperlink_2689" Type="http://schemas.openxmlformats.org/officeDocument/2006/relationships/hyperlink" Target="https://optovikufa.ru/product/242473/ruletka-5m-3-fiksatora-obrezkorpus-magnit-lit/" TargetMode="External"/><Relationship Id="rId_hyperlink_2690" Type="http://schemas.openxmlformats.org/officeDocument/2006/relationships/hyperlink" Target="https://optovikufa.ru/product/241288/ruletka-izmeritelnaya-professional-3mh16mmprorezinennyy-korpus2-fiksatoramagnitnyy-zacep/" TargetMode="External"/><Relationship Id="rId_hyperlink_2691" Type="http://schemas.openxmlformats.org/officeDocument/2006/relationships/hyperlink" Target="https://optovikufa.ru/product/241290/ruletka-izmeritelnaya-professional-75mh25mmprorezin-korpus2-fiksatoramagnitnyy-zacep/" TargetMode="External"/><Relationship Id="rId_hyperlink_2692" Type="http://schemas.openxmlformats.org/officeDocument/2006/relationships/hyperlink" Target="https://optovikufa.ru/product/240589/ruletka-metr-portnovskiy-40/" TargetMode="External"/><Relationship Id="rId_hyperlink_2693" Type="http://schemas.openxmlformats.org/officeDocument/2006/relationships/hyperlink" Target="https://optovikufa.ru/product/191656/ugolnik-stolyarnyy-zheltyy-master-250mm-7544/" TargetMode="External"/><Relationship Id="rId_hyperlink_2694" Type="http://schemas.openxmlformats.org/officeDocument/2006/relationships/hyperlink" Target="https://optovikufa.ru/product/191657/ugolnik-stolyarnyy-zheltyy-master-300mm-37016/" TargetMode="External"/><Relationship Id="rId_hyperlink_2695" Type="http://schemas.openxmlformats.org/officeDocument/2006/relationships/hyperlink" Target="https://optovikufa.ru/product/168063/ugolnik-stolyarnyy-zheltyy-master-350mm-30566/" TargetMode="External"/><Relationship Id="rId_hyperlink_2696" Type="http://schemas.openxmlformats.org/officeDocument/2006/relationships/hyperlink" Target="https://optovikufa.ru/product/241391/ugolnik-stolyarnyy-zheltyy-master-400mm-7547/" TargetMode="External"/><Relationship Id="rId_hyperlink_2697" Type="http://schemas.openxmlformats.org/officeDocument/2006/relationships/hyperlink" Target="https://optovikufa.ru/product/239027/shtangencirkul-mehanicheskiy-metallicheskiy-150mm-plastikovyy-keys/" TargetMode="External"/><Relationship Id="rId_hyperlink_2698" Type="http://schemas.openxmlformats.org/officeDocument/2006/relationships/hyperlink" Target="https://optovikufa.ru/product/127830/shtangencirkul-elektronnyy-150mm-v-plast-korobke/" TargetMode="External"/><Relationship Id="rId_hyperlink_2699" Type="http://schemas.openxmlformats.org/officeDocument/2006/relationships/hyperlink" Target="https://optovikufa.ru/product/140666/shtangencirkul-elektronnyy-st-04-150mm-ot-inm05/" TargetMode="External"/><Relationship Id="rId_hyperlink_2700" Type="http://schemas.openxmlformats.org/officeDocument/2006/relationships/hyperlink" Target="https://optovikufa.ru/product/225999/binokl-10x-diametr-linz-25mm-derevo/" TargetMode="External"/><Relationship Id="rId_hyperlink_2701" Type="http://schemas.openxmlformats.org/officeDocument/2006/relationships/hyperlink" Target="https://optovikufa.ru/product/229024/binokl-10x-diametr-linz-50mm/" TargetMode="External"/><Relationship Id="rId_hyperlink_2702" Type="http://schemas.openxmlformats.org/officeDocument/2006/relationships/hyperlink" Target="https://optovikufa.ru/product/237786/binokl-12x30-chernyy-bkn-22/" TargetMode="External"/><Relationship Id="rId_hyperlink_2703" Type="http://schemas.openxmlformats.org/officeDocument/2006/relationships/hyperlink" Target="https://optovikufa.ru/product/242969/binokl-12x40-chernyy-bkn-12/" TargetMode="External"/><Relationship Id="rId_hyperlink_2704" Type="http://schemas.openxmlformats.org/officeDocument/2006/relationships/hyperlink" Target="https://optovikufa.ru/product/242970/binokl-12x45-chernyy-bkn-14/" TargetMode="External"/><Relationship Id="rId_hyperlink_2705" Type="http://schemas.openxmlformats.org/officeDocument/2006/relationships/hyperlink" Target="https://optovikufa.ru/product/229915/binokl-20x-diametr-linz-50mm-12/" TargetMode="External"/><Relationship Id="rId_hyperlink_2706" Type="http://schemas.openxmlformats.org/officeDocument/2006/relationships/hyperlink" Target="https://optovikufa.ru/product/237785/binokl-20x35-chernyy-zelenyy-bkn-21/" TargetMode="External"/><Relationship Id="rId_hyperlink_2707" Type="http://schemas.openxmlformats.org/officeDocument/2006/relationships/hyperlink" Target="https://optovikufa.ru/product/237783/binokl-20x50-chernyy-bkn-04/" TargetMode="External"/><Relationship Id="rId_hyperlink_2708" Type="http://schemas.openxmlformats.org/officeDocument/2006/relationships/hyperlink" Target="https://optovikufa.ru/product/242624/binokl-20x50-chernyy-bkn-15/" TargetMode="External"/><Relationship Id="rId_hyperlink_2709" Type="http://schemas.openxmlformats.org/officeDocument/2006/relationships/hyperlink" Target="https://optovikufa.ru/product/242971/binokl-20x50-chernyy-bkn-19/" TargetMode="External"/><Relationship Id="rId_hyperlink_2710" Type="http://schemas.openxmlformats.org/officeDocument/2006/relationships/hyperlink" Target="https://optovikufa.ru/product/242972/binokl-20x50-chernyy-bkn-20/" TargetMode="External"/><Relationship Id="rId_hyperlink_2711" Type="http://schemas.openxmlformats.org/officeDocument/2006/relationships/hyperlink" Target="https://optovikufa.ru/product/242973/binokl-20x50-chernyy-bkn-33/" TargetMode="External"/><Relationship Id="rId_hyperlink_2712" Type="http://schemas.openxmlformats.org/officeDocument/2006/relationships/hyperlink" Target="https://optovikufa.ru/product/225997/binokl-8x-diametr-linz-21mm-zelenyy/" TargetMode="External"/><Relationship Id="rId_hyperlink_2713" Type="http://schemas.openxmlformats.org/officeDocument/2006/relationships/hyperlink" Target="https://optovikufa.ru/product/225996/binokl-8x-diametr-linz-22mm-belyy/" TargetMode="External"/><Relationship Id="rId_hyperlink_2714" Type="http://schemas.openxmlformats.org/officeDocument/2006/relationships/hyperlink" Target="https://optovikufa.ru/product/229367/binokl-8x-diametr-linz-40mm/" TargetMode="External"/><Relationship Id="rId_hyperlink_2715" Type="http://schemas.openxmlformats.org/officeDocument/2006/relationships/hyperlink" Target="https://optovikufa.ru/product/229368/binokl-8x-diametr-linz-40mm/" TargetMode="External"/><Relationship Id="rId_hyperlink_2716" Type="http://schemas.openxmlformats.org/officeDocument/2006/relationships/hyperlink" Target="https://optovikufa.ru/product/237788/binokl-8x21-chernyy-bkn-24/" TargetMode="External"/><Relationship Id="rId_hyperlink_2717" Type="http://schemas.openxmlformats.org/officeDocument/2006/relationships/hyperlink" Target="https://optovikufa.ru/product/238695/binokl-8x30-chernyy-bkn-26/" TargetMode="External"/><Relationship Id="rId_hyperlink_2718" Type="http://schemas.openxmlformats.org/officeDocument/2006/relationships/hyperlink" Target="https://optovikufa.ru/product/227789/binokl-ot-trb07-10x-42mm/" TargetMode="External"/><Relationship Id="rId_hyperlink_2719" Type="http://schemas.openxmlformats.org/officeDocument/2006/relationships/hyperlink" Target="https://optovikufa.ru/product/149181/lupa-nalobnaya-mg81001b2-uv17-40h-s-podsvet-ot-inl07/" TargetMode="External"/><Relationship Id="rId_hyperlink_2720" Type="http://schemas.openxmlformats.org/officeDocument/2006/relationships/hyperlink" Target="https://optovikufa.ru/product/149179/lupa-nalobnaya-mg81001g-uv15-35h-s-podsvet-ot-inl08/" TargetMode="External"/><Relationship Id="rId_hyperlink_2721" Type="http://schemas.openxmlformats.org/officeDocument/2006/relationships/hyperlink" Target="https://optovikufa.ru/product/149180/lupa-nalobnaya-mg81001h-uv15-35h-s-podsvet-ot-inl09/" TargetMode="External"/><Relationship Id="rId_hyperlink_2722" Type="http://schemas.openxmlformats.org/officeDocument/2006/relationships/hyperlink" Target="https://optovikufa.ru/product/149976/lupa-nalobnaya-mg81002-ot-inl11-4-nasadki-uv12h-18h-25h-35h-podsvetka-1led-kitay/" TargetMode="External"/><Relationship Id="rId_hyperlink_2723" Type="http://schemas.openxmlformats.org/officeDocument/2006/relationships/hyperlink" Target="https://optovikufa.ru/product/149182/lupa-nalobnaya-mg81007-a-uv15-7h-s-podsvet-ot-inl12/" TargetMode="External"/><Relationship Id="rId_hyperlink_2724" Type="http://schemas.openxmlformats.org/officeDocument/2006/relationships/hyperlink" Target="https://optovikufa.ru/product/125721/lupa-nalobnaya-mg82000m-ot-inl64/" TargetMode="External"/><Relationship Id="rId_hyperlink_2725" Type="http://schemas.openxmlformats.org/officeDocument/2006/relationships/hyperlink" Target="https://optovikufa.ru/product/217510/lupa-ochki-bigvision/" TargetMode="External"/><Relationship Id="rId_hyperlink_2726" Type="http://schemas.openxmlformats.org/officeDocument/2006/relationships/hyperlink" Target="https://optovikufa.ru/product/173197/lupa-ochki-mg-9892b-5-nasadok-uv10h-15h-20x-25h-35h-podsvetka-2led-ot-inl59/" TargetMode="External"/><Relationship Id="rId_hyperlink_2727" Type="http://schemas.openxmlformats.org/officeDocument/2006/relationships/hyperlink" Target="https://optovikufa.ru/product/158630/lupa-ochki-mg-9892bp-5-nasadok-uv10h-15h-20x-25h-35h-podsvetka-2led-ot-inl34/" TargetMode="External"/><Relationship Id="rId_hyperlink_2728" Type="http://schemas.openxmlformats.org/officeDocument/2006/relationships/hyperlink" Target="https://optovikufa.ru/product/149188/lupa-ochki-mg-9892gj-ot-inl57/" TargetMode="External"/><Relationship Id="rId_hyperlink_2729" Type="http://schemas.openxmlformats.org/officeDocument/2006/relationships/hyperlink" Target="https://optovikufa.ru/product/125722/lupa-ochki-mg-9892h-1-ot-inl58/" TargetMode="External"/><Relationship Id="rId_hyperlink_2730" Type="http://schemas.openxmlformats.org/officeDocument/2006/relationships/hyperlink" Target="https://optovikufa.ru/product/228574/lupa-ochki-ot-inl68-15x-20x-25x/" TargetMode="External"/><Relationship Id="rId_hyperlink_2731" Type="http://schemas.openxmlformats.org/officeDocument/2006/relationships/hyperlink" Target="https://optovikufa.ru/product/158631/lupa-ochki-th-9201-ot-inl36/" TargetMode="External"/><Relationship Id="rId_hyperlink_2732" Type="http://schemas.openxmlformats.org/officeDocument/2006/relationships/hyperlink" Target="https://optovikufa.ru/product/230518/ochki-lupa-uvelichitelnye-ot-inl75-15-zastezhka-magnit-chernye/" TargetMode="External"/><Relationship Id="rId_hyperlink_2733" Type="http://schemas.openxmlformats.org/officeDocument/2006/relationships/hyperlink" Target="https://optovikufa.ru/product/240550/ochki-lupa-uvelichitelnye-ot-inl84-25-13h-chernye/" TargetMode="External"/><Relationship Id="rId_hyperlink_2734" Type="http://schemas.openxmlformats.org/officeDocument/2006/relationships/hyperlink" Target="https://optovikufa.ru/product/240551/ochki-lupa-uvelichitelnye-ot-inl84-35-18h-chernye/" TargetMode="External"/><Relationship Id="rId_hyperlink_2735" Type="http://schemas.openxmlformats.org/officeDocument/2006/relationships/hyperlink" Target="https://optovikufa.ru/product/149186/lupa-nastolnaya-mg-4b-5-uv2h-nastolnaya-9sm-ot-inl50/" TargetMode="External"/><Relationship Id="rId_hyperlink_2736" Type="http://schemas.openxmlformats.org/officeDocument/2006/relationships/hyperlink" Target="https://optovikufa.ru/product/149187/lupa-nastolnaya-mg-4b-8-uv6h-nastolnaya-9sm-ot-inl13/" TargetMode="External"/><Relationship Id="rId_hyperlink_2737" Type="http://schemas.openxmlformats.org/officeDocument/2006/relationships/hyperlink" Target="https://optovikufa.ru/product/149183/lupa-nastolnaya-mg15122-2b-uv2h-nastolnaya-105sm-ot-inl38/" TargetMode="External"/><Relationship Id="rId_hyperlink_2738" Type="http://schemas.openxmlformats.org/officeDocument/2006/relationships/hyperlink" Target="https://optovikufa.ru/product/222433/lupa-nastolnaya-th-7028b/" TargetMode="External"/><Relationship Id="rId_hyperlink_2739" Type="http://schemas.openxmlformats.org/officeDocument/2006/relationships/hyperlink" Target="https://optovikufa.ru/product/240553/lupa-nastolnaya-orbita-uv-10h-podsvetka-ot-inl89-chernaya/" TargetMode="External"/><Relationship Id="rId_hyperlink_2740" Type="http://schemas.openxmlformats.org/officeDocument/2006/relationships/hyperlink" Target="https://optovikufa.ru/product/240552/lupa-nastolnaya-orbita-uv26h-podsvetka-ot-inl86/" TargetMode="External"/><Relationship Id="rId_hyperlink_2741" Type="http://schemas.openxmlformats.org/officeDocument/2006/relationships/hyperlink" Target="https://optovikufa.ru/product/239836/lupa-ruchnaya-kruglaya-dt7673-soft-touch-prorezinennyy-krpus-5h-60mm/" TargetMode="External"/><Relationship Id="rId_hyperlink_2742" Type="http://schemas.openxmlformats.org/officeDocument/2006/relationships/hyperlink" Target="https://optovikufa.ru/product/239475/lupa-ruchnaya-kruglaya-d107-10h-12-led-dt7670/" TargetMode="External"/><Relationship Id="rId_hyperlink_2743" Type="http://schemas.openxmlformats.org/officeDocument/2006/relationships/hyperlink" Target="https://optovikufa.ru/product/237629/lupa-ruchnaya-kruglaya-mg89075-absplastiksteklo-2lupy-3h-50mm/" TargetMode="External"/><Relationship Id="rId_hyperlink_2744" Type="http://schemas.openxmlformats.org/officeDocument/2006/relationships/hyperlink" Target="https://optovikufa.ru/product/236664/lupa-ruchnaya-kruglaya-suvenirnaya-magnifier-l90-absplastiksteklo-5h-100mm/" TargetMode="External"/><Relationship Id="rId_hyperlink_2745" Type="http://schemas.openxmlformats.org/officeDocument/2006/relationships/hyperlink" Target="https://optovikufa.ru/product/236663/lupa-ruchnaya-kruglaya-suvenirnaya-magnifier-l90-absplastiksteklo-5h-90mm/" TargetMode="External"/><Relationship Id="rId_hyperlink_2746" Type="http://schemas.openxmlformats.org/officeDocument/2006/relationships/hyperlink" Target="https://optovikufa.ru/product/218675/lupa-s-ruchkoy-fs75rc-ot-inl18/" TargetMode="External"/><Relationship Id="rId_hyperlink_2747" Type="http://schemas.openxmlformats.org/officeDocument/2006/relationships/hyperlink" Target="https://optovikufa.ru/product/193697/lupa-s-ruchkoy-i-podsvetkoy-mg-no-9986e-uvel185-kruglaya-ot-inl25/" TargetMode="External"/><Relationship Id="rId_hyperlink_2748" Type="http://schemas.openxmlformats.org/officeDocument/2006/relationships/hyperlink" Target="https://optovikufa.ru/product/147601/lupa-s-ruchkoy-karta-d50-kruglaya/" TargetMode="External"/><Relationship Id="rId_hyperlink_2749" Type="http://schemas.openxmlformats.org/officeDocument/2006/relationships/hyperlink" Target="https://optovikufa.ru/product/237634/lupa-skladnaya-kruglaya-dong-fa-plastikstekl-linza-25h-d50mm/" TargetMode="External"/><Relationship Id="rId_hyperlink_2750" Type="http://schemas.openxmlformats.org/officeDocument/2006/relationships/hyperlink" Target="https://optovikufa.ru/product/237633/lupa-skladnaya-kruglaya-pocket-spiegel-absplastiksteklo-3h-60mm/" TargetMode="External"/><Relationship Id="rId_hyperlink_2751" Type="http://schemas.openxmlformats.org/officeDocument/2006/relationships/hyperlink" Target="https://optovikufa.ru/product/240113/lupa-chasovaya-uvelichenie-h20-emt0-120/" TargetMode="External"/><Relationship Id="rId_hyperlink_2752" Type="http://schemas.openxmlformats.org/officeDocument/2006/relationships/hyperlink" Target="https://optovikufa.ru/product/221582/cifrovoy-usb-mikroskop-1000h-uvel-razreshenie-video-800x600-30-ks-podstavka-na-prisoske/" TargetMode="External"/><Relationship Id="rId_hyperlink_2753" Type="http://schemas.openxmlformats.org/officeDocument/2006/relationships/hyperlink" Target="https://optovikufa.ru/product/165996/cifrovoy-usb-mikroskop-500h-uvel-razreshenie-video-800x600-30-ks-podstavka-metall/" TargetMode="External"/><Relationship Id="rId_hyperlink_2754" Type="http://schemas.openxmlformats.org/officeDocument/2006/relationships/hyperlink" Target="https://optovikufa.ru/product/229365/endoskop-usb-dlya-smartfonov-ot-sme12-1280x720-1m/" TargetMode="External"/><Relationship Id="rId_hyperlink_2755" Type="http://schemas.openxmlformats.org/officeDocument/2006/relationships/hyperlink" Target="https://optovikufa.ru/product/229366/endoskop-usb-dlya-smartfonov-ot-sme12-1280x720-2m/" TargetMode="External"/><Relationship Id="rId_hyperlink_2756" Type="http://schemas.openxmlformats.org/officeDocument/2006/relationships/hyperlink" Target="https://optovikufa.ru/product/230528/endoskop-usb-dlya-smartfonov-ot-sme12-1280x720-5m/" TargetMode="External"/><Relationship Id="rId_hyperlink_2757" Type="http://schemas.openxmlformats.org/officeDocument/2006/relationships/hyperlink" Target="https://optovikufa.ru/product/240637/getinaks-folgirovannyy-odnostoronniy-15mm-50h100mm-fr1-1/" TargetMode="External"/><Relationship Id="rId_hyperlink_2758" Type="http://schemas.openxmlformats.org/officeDocument/2006/relationships/hyperlink" Target="https://optovikufa.ru/product/171396/maketnaya-peremychka-gnezdo-gnezdo-komplekt-40sht/" TargetMode="External"/><Relationship Id="rId_hyperlink_2759" Type="http://schemas.openxmlformats.org/officeDocument/2006/relationships/hyperlink" Target="https://optovikufa.ru/product/233479/maketnaya-plata-dlya-montazha-bez-payki-165h55h10mm-830-tochek-shag-254mm/" TargetMode="External"/><Relationship Id="rId_hyperlink_2760" Type="http://schemas.openxmlformats.org/officeDocument/2006/relationships/hyperlink" Target="https://optovikufa.ru/product/175324/maketnaya-plata-dlya-montazha-bez-payki-82h53h10mm-400-tochek-shag-254mm/" TargetMode="External"/><Relationship Id="rId_hyperlink_2761" Type="http://schemas.openxmlformats.org/officeDocument/2006/relationships/hyperlink" Target="https://optovikufa.ru/product/240639/steklotekstolit-dvustoronniy-15mm-50h100mm-fr4-2/" TargetMode="External"/><Relationship Id="rId_hyperlink_2762" Type="http://schemas.openxmlformats.org/officeDocument/2006/relationships/hyperlink" Target="https://optovikufa.ru/product/240638/steklotekstolit-odnostoronniy-15mm-100h150mm-fr4-1/" TargetMode="External"/><Relationship Id="rId_hyperlink_2763" Type="http://schemas.openxmlformats.org/officeDocument/2006/relationships/hyperlink" Target="https://optovikufa.ru/product/240636/tekstolit-odnostoronniy-15mm-100h100mm-fr1-1/" TargetMode="External"/><Relationship Id="rId_hyperlink_2764" Type="http://schemas.openxmlformats.org/officeDocument/2006/relationships/hyperlink" Target="https://optovikufa.ru/product/169361/aerozol-dlya-ohlazhdeniya-do-45-rexant-freezer-400ml/" TargetMode="External"/><Relationship Id="rId_hyperlink_2765" Type="http://schemas.openxmlformats.org/officeDocument/2006/relationships/hyperlink" Target="https://optovikufa.ru/product/238530/gubka-dlya-ochistki-payalnogo-zhala-35-x-45-mm-zheltaya/" TargetMode="External"/><Relationship Id="rId_hyperlink_2766" Type="http://schemas.openxmlformats.org/officeDocument/2006/relationships/hyperlink" Target="https://optovikufa.ru/product/238529/gubka-dlya-ochistki-payalnogo-zhala-35-x-45-mm-sinyaya/" TargetMode="External"/><Relationship Id="rId_hyperlink_2767" Type="http://schemas.openxmlformats.org/officeDocument/2006/relationships/hyperlink" Target="https://optovikufa.ru/product/238532/gubka-dlya-ochistki-payalnogo-zhala-60-x-60-mm-zheltaya/" TargetMode="External"/><Relationship Id="rId_hyperlink_2768" Type="http://schemas.openxmlformats.org/officeDocument/2006/relationships/hyperlink" Target="https://optovikufa.ru/product/238531/gubka-dlya-ochistki-payalnogo-zhala-60-x-60-mm-sinyaya/" TargetMode="External"/><Relationship Id="rId_hyperlink_2769" Type="http://schemas.openxmlformats.org/officeDocument/2006/relationships/hyperlink" Target="https://optovikufa.ru/product/169856/igly-dlya-demontazha-elektronnyh-komponentov-8-predmetov-08-20mm/" TargetMode="External"/><Relationship Id="rId_hyperlink_2770" Type="http://schemas.openxmlformats.org/officeDocument/2006/relationships/hyperlink" Target="https://optovikufa.ru/product/238458/opletka-dlya-udaleniya-pripoya-2mm-dlina-15m/" TargetMode="External"/><Relationship Id="rId_hyperlink_2771" Type="http://schemas.openxmlformats.org/officeDocument/2006/relationships/hyperlink" Target="https://optovikufa.ru/product/238460/opletka-dlya-udaleniya-pripoya-3mm-dlina-15m/" TargetMode="External"/><Relationship Id="rId_hyperlink_2772" Type="http://schemas.openxmlformats.org/officeDocument/2006/relationships/hyperlink" Target="https://optovikufa.ru/product/233677/opletka-dlya-vypayki-mednaya-lenta-dlya-udaleniya-pripoya-1mm-dlina-15m-zd-180/" TargetMode="External"/><Relationship Id="rId_hyperlink_2773" Type="http://schemas.openxmlformats.org/officeDocument/2006/relationships/hyperlink" Target="https://optovikufa.ru/product/234509/opletka-dlya-vypayki-mednaya-lenta-dlya-udaleniya-pripoya-2mm-dlina-15m-zd-180/" TargetMode="External"/><Relationship Id="rId_hyperlink_2774" Type="http://schemas.openxmlformats.org/officeDocument/2006/relationships/hyperlink" Target="https://optovikufa.ru/product/233678/opletka-dlya-vypayki-mednaya-lenta-dlya-udaleniya-pripoya-3mm-dlina-15m-zd-180/" TargetMode="External"/><Relationship Id="rId_hyperlink_2775" Type="http://schemas.openxmlformats.org/officeDocument/2006/relationships/hyperlink" Target="https://optovikufa.ru/product/174296/pripoy-8mm-175gr-l-400mm-pos-40-prutok-12745/" TargetMode="External"/><Relationship Id="rId_hyperlink_2776" Type="http://schemas.openxmlformats.org/officeDocument/2006/relationships/hyperlink" Target="https://optovikufa.ru/product/148120/pripoy-8mm-190gr-l-400mm-pos-30-prutok-337681/" TargetMode="External"/><Relationship Id="rId_hyperlink_2777" Type="http://schemas.openxmlformats.org/officeDocument/2006/relationships/hyperlink" Target="https://optovikufa.ru/product/239963/pripoy-spiralka-pos-61-20gr/" TargetMode="External"/><Relationship Id="rId_hyperlink_2778" Type="http://schemas.openxmlformats.org/officeDocument/2006/relationships/hyperlink" Target="https://optovikufa.ru/product/221429/pripoy-s-kanifolyu-10mm-10gr-pos-30-kolba-rexant-09-3099/" TargetMode="External"/><Relationship Id="rId_hyperlink_2779" Type="http://schemas.openxmlformats.org/officeDocument/2006/relationships/hyperlink" Target="https://optovikufa.ru/product/221430/pripoy-s-kanifolyu-10mm-10gr-pos-40-kolba-rexant-09-3100/" TargetMode="External"/><Relationship Id="rId_hyperlink_2780" Type="http://schemas.openxmlformats.org/officeDocument/2006/relationships/hyperlink" Target="https://optovikufa.ru/product/221431/pripoy-s-kanifolyu-10mm-10gr-pos-90-kolba-rexant-09-3102/" TargetMode="External"/><Relationship Id="rId_hyperlink_2781" Type="http://schemas.openxmlformats.org/officeDocument/2006/relationships/hyperlink" Target="https://optovikufa.ru/product/239967/pripoy-s-kanifolyu-pos-60-15gr/" TargetMode="External"/><Relationship Id="rId_hyperlink_2782" Type="http://schemas.openxmlformats.org/officeDocument/2006/relationships/hyperlink" Target="https://optovikufa.ru/product/239968/pripoy-s-kanifolyu-pos-60-20gr/" TargetMode="External"/><Relationship Id="rId_hyperlink_2783" Type="http://schemas.openxmlformats.org/officeDocument/2006/relationships/hyperlink" Target="https://optovikufa.ru/product/241908/pripoy-s-kanifolyu-pos-60-25gr/" TargetMode="External"/><Relationship Id="rId_hyperlink_2784" Type="http://schemas.openxmlformats.org/officeDocument/2006/relationships/hyperlink" Target="https://optovikufa.ru/product/239969/pripoy-s-kanifolyu-pos-61-15gr/" TargetMode="External"/><Relationship Id="rId_hyperlink_2785" Type="http://schemas.openxmlformats.org/officeDocument/2006/relationships/hyperlink" Target="https://optovikufa.ru/product/239970/pripoy-s-kanifolyu-pos-61-25gr/" TargetMode="External"/><Relationship Id="rId_hyperlink_2786" Type="http://schemas.openxmlformats.org/officeDocument/2006/relationships/hyperlink" Target="https://optovikufa.ru/product/239964/pripoy-s-kanifolyu-spiralka-pos-61-10gr/" TargetMode="External"/><Relationship Id="rId_hyperlink_2787" Type="http://schemas.openxmlformats.org/officeDocument/2006/relationships/hyperlink" Target="https://optovikufa.ru/product/239965/pripoy-s-kanifolyu-spiralka-pos-61-20gr/" TargetMode="External"/><Relationship Id="rId_hyperlink_2788" Type="http://schemas.openxmlformats.org/officeDocument/2006/relationships/hyperlink" Target="https://optovikufa.ru/product/154157/splav-vuda-50g-temperatura-plavleniya-60s/" TargetMode="External"/><Relationship Id="rId_hyperlink_2789" Type="http://schemas.openxmlformats.org/officeDocument/2006/relationships/hyperlink" Target="https://optovikufa.ru/product/236254/splav-roze-50g-temperatura-plavleniya-95s-connector/" TargetMode="External"/><Relationship Id="rId_hyperlink_2790" Type="http://schemas.openxmlformats.org/officeDocument/2006/relationships/hyperlink" Target="https://optovikufa.ru/product/236256/flyus-dlya-alyuminiya-f-64-15ml-connector/" TargetMode="External"/><Relationship Id="rId_hyperlink_2791" Type="http://schemas.openxmlformats.org/officeDocument/2006/relationships/hyperlink" Target="https://optovikufa.ru/product/171724/flyus-dlya-alyuminiya-f-64-20ml-s-kistochkoy-connector/" TargetMode="External"/><Relationship Id="rId_hyperlink_2792" Type="http://schemas.openxmlformats.org/officeDocument/2006/relationships/hyperlink" Target="https://optovikufa.ru/product/167497/flyus-dlya-alyuminiya-f-64-25ml-connector/" TargetMode="External"/><Relationship Id="rId_hyperlink_2793" Type="http://schemas.openxmlformats.org/officeDocument/2006/relationships/hyperlink" Target="https://optovikufa.ru/product/236263/flyus-dlya-payki-f-34a-25ml-connector/" TargetMode="External"/><Relationship Id="rId_hyperlink_2794" Type="http://schemas.openxmlformats.org/officeDocument/2006/relationships/hyperlink" Target="https://optovikufa.ru/product/236248/flyus-dlya-payki-bura-100g-connector/" TargetMode="External"/><Relationship Id="rId_hyperlink_2795" Type="http://schemas.openxmlformats.org/officeDocument/2006/relationships/hyperlink" Target="https://optovikufa.ru/product/236249/flyus-dlya-payki-bura-250g-connector/" TargetMode="External"/><Relationship Id="rId_hyperlink_2796" Type="http://schemas.openxmlformats.org/officeDocument/2006/relationships/hyperlink" Target="https://optovikufa.ru/product/242091/porshen-dlya-vydavlivaniya-flyusa-ili-payalnoy-pasty-iz-tuby-dream-sc03/" TargetMode="External"/><Relationship Id="rId_hyperlink_2797" Type="http://schemas.openxmlformats.org/officeDocument/2006/relationships/hyperlink" Target="https://optovikufa.ru/product/239904/flyus-gel-dlya-smd-komponentov-amtech-nc-559-asm-10ml-dream/" TargetMode="External"/><Relationship Id="rId_hyperlink_2798" Type="http://schemas.openxmlformats.org/officeDocument/2006/relationships/hyperlink" Target="https://optovikufa.ru/product/238456/flyus-gel-dlya-payki-amtech-rma-223-10ml-igla-dozator-i-tolkatel-v-komplekte/" TargetMode="External"/><Relationship Id="rId_hyperlink_2799" Type="http://schemas.openxmlformats.org/officeDocument/2006/relationships/hyperlink" Target="https://optovikufa.ru/product/171028/flyus-gel-dlya-payki-amtech-rma-223-podhodit-dlya-smdbga-komponentov-10ml/" TargetMode="External"/><Relationship Id="rId_hyperlink_2800" Type="http://schemas.openxmlformats.org/officeDocument/2006/relationships/hyperlink" Target="https://optovikufa.ru/product/241905/glicerin-gidrazinovyy-flyus-100ml-connector/" TargetMode="External"/><Relationship Id="rId_hyperlink_2801" Type="http://schemas.openxmlformats.org/officeDocument/2006/relationships/hyperlink" Target="https://optovikufa.ru/product/241903/glicerin-gidrazinovyy-flyus-15ml-connector/" TargetMode="External"/><Relationship Id="rId_hyperlink_2802" Type="http://schemas.openxmlformats.org/officeDocument/2006/relationships/hyperlink" Target="https://optovikufa.ru/product/241904/glicerin-gidrazinovyy-flyus-50ml-connector/" TargetMode="External"/><Relationship Id="rId_hyperlink_2803" Type="http://schemas.openxmlformats.org/officeDocument/2006/relationships/hyperlink" Target="https://optovikufa.ru/product/171699/kanifol-zhidkaya-20g-s-kistochkoy-connector/" TargetMode="External"/><Relationship Id="rId_hyperlink_2804" Type="http://schemas.openxmlformats.org/officeDocument/2006/relationships/hyperlink" Target="https://optovikufa.ru/product/171697/kanifol-zhidkaya-20ml-s-kistochkoy-lux-connector/" TargetMode="External"/><Relationship Id="rId_hyperlink_2805" Type="http://schemas.openxmlformats.org/officeDocument/2006/relationships/hyperlink" Target="https://optovikufa.ru/product/171700/kanifol-zhidkaya-25ml-lux-connector/" TargetMode="External"/><Relationship Id="rId_hyperlink_2806" Type="http://schemas.openxmlformats.org/officeDocument/2006/relationships/hyperlink" Target="https://optovikufa.ru/product/171705/kanifol-sosnovaya-20gr-klass-a-v-bannochke-connector/" TargetMode="External"/><Relationship Id="rId_hyperlink_2807" Type="http://schemas.openxmlformats.org/officeDocument/2006/relationships/hyperlink" Target="https://optovikufa.ru/product/154134/kanifol-gel-aktiv-shpric-blister-connector/" TargetMode="External"/><Relationship Id="rId_hyperlink_2808" Type="http://schemas.openxmlformats.org/officeDocument/2006/relationships/hyperlink" Target="https://optovikufa.ru/product/171707/kanifol-gel-shpric-blister-connector/" TargetMode="External"/><Relationship Id="rId_hyperlink_2809" Type="http://schemas.openxmlformats.org/officeDocument/2006/relationships/hyperlink" Target="https://optovikufa.ru/product/171722/flyus-payalnyy-lti-120-lux-20ml-s-kistochkoy-bez-spirta-vodosmyvnoy-connector/" TargetMode="External"/><Relationship Id="rId_hyperlink_2810" Type="http://schemas.openxmlformats.org/officeDocument/2006/relationships/hyperlink" Target="https://optovikufa.ru/product/149959/flyus-payalnyy-lti-120-lux-flakon-10ml-connector/" TargetMode="External"/><Relationship Id="rId_hyperlink_2811" Type="http://schemas.openxmlformats.org/officeDocument/2006/relationships/hyperlink" Target="https://optovikufa.ru/product/171723/flyus-payalnyy-lti-120-lux-flakon-15ml-connector/" TargetMode="External"/><Relationship Id="rId_hyperlink_2812" Type="http://schemas.openxmlformats.org/officeDocument/2006/relationships/hyperlink" Target="https://optovikufa.ru/product/135852/flyus-payalnyy-lti-120-lux-flakon-25ml-connector/" TargetMode="External"/><Relationship Id="rId_hyperlink_2813" Type="http://schemas.openxmlformats.org/officeDocument/2006/relationships/hyperlink" Target="https://optovikufa.ru/product/218126/flyus-payalnyy-lti-120-lux-flakon-50ml-connector/" TargetMode="External"/><Relationship Id="rId_hyperlink_2814" Type="http://schemas.openxmlformats.org/officeDocument/2006/relationships/hyperlink" Target="https://optovikufa.ru/product/241205/kislota-ortofosfornaya-100ml-vysokoaktflyus-dlya-payki-connector/" TargetMode="External"/><Relationship Id="rId_hyperlink_2815" Type="http://schemas.openxmlformats.org/officeDocument/2006/relationships/hyperlink" Target="https://optovikufa.ru/product/123364/kislota-ortofosfornaya-10ml-vysokoaktflyus-dlya-payki-connector/" TargetMode="External"/><Relationship Id="rId_hyperlink_2816" Type="http://schemas.openxmlformats.org/officeDocument/2006/relationships/hyperlink" Target="https://optovikufa.ru/product/171716/kislota-ortofosfornaya-15ml-vysokoaktflyus-dlya-payki-connector/" TargetMode="External"/><Relationship Id="rId_hyperlink_2817" Type="http://schemas.openxmlformats.org/officeDocument/2006/relationships/hyperlink" Target="https://optovikufa.ru/product/171717/kislota-ortofosfornaya-25ml-vysokoaktflyus-dlya-payki-connector/" TargetMode="External"/><Relationship Id="rId_hyperlink_2818" Type="http://schemas.openxmlformats.org/officeDocument/2006/relationships/hyperlink" Target="https://optovikufa.ru/product/241907/kislota-ortofosfornaya-500ml-vysokoaktflyus-dlya-payki-connector/" TargetMode="External"/><Relationship Id="rId_hyperlink_2819" Type="http://schemas.openxmlformats.org/officeDocument/2006/relationships/hyperlink" Target="https://optovikufa.ru/product/129543/kislota-ortofosfornaya-50ml/" TargetMode="External"/><Relationship Id="rId_hyperlink_2820" Type="http://schemas.openxmlformats.org/officeDocument/2006/relationships/hyperlink" Target="https://optovikufa.ru/product/171714/kislota-payalnaya-6ml-aktivnyy-flyus-dlya-payki-v-bytu-connector/" TargetMode="External"/><Relationship Id="rId_hyperlink_2821" Type="http://schemas.openxmlformats.org/officeDocument/2006/relationships/hyperlink" Target="https://optovikufa.ru/product/171709/kislota-payalnaya-10ml-aktivnyy-flyus-dlya-payki-v-bytu-connector/" TargetMode="External"/><Relationship Id="rId_hyperlink_2822" Type="http://schemas.openxmlformats.org/officeDocument/2006/relationships/hyperlink" Target="https://optovikufa.ru/product/171710/kislota-payalnaya-15ml-aktivnyy-flyus-dlya-payki-v-bytu-connector/" TargetMode="External"/><Relationship Id="rId_hyperlink_2823" Type="http://schemas.openxmlformats.org/officeDocument/2006/relationships/hyperlink" Target="https://optovikufa.ru/product/171712/kislota-payalnaya-25ml-aktivnyy-flyus-dlya-payki-v-bytu-connector/" TargetMode="External"/><Relationship Id="rId_hyperlink_2824" Type="http://schemas.openxmlformats.org/officeDocument/2006/relationships/hyperlink" Target="https://optovikufa.ru/product/171713/kislota-payalnaya-50ml-aktivnyy-flyus-dlya-payki-v-bytu-connector/" TargetMode="External"/><Relationship Id="rId_hyperlink_2825" Type="http://schemas.openxmlformats.org/officeDocument/2006/relationships/hyperlink" Target="https://optovikufa.ru/product/171708/kislota-payalnaya-100ml-aktivnyy-flyus-dlya-payki-v-bytu-connector/" TargetMode="External"/><Relationship Id="rId_hyperlink_2826" Type="http://schemas.openxmlformats.org/officeDocument/2006/relationships/hyperlink" Target="https://optovikufa.ru/product/165213/flyus-dlya-payki-fim-10ml-connector/" TargetMode="External"/><Relationship Id="rId_hyperlink_2827" Type="http://schemas.openxmlformats.org/officeDocument/2006/relationships/hyperlink" Target="https://optovikufa.ru/product/236259/flyus-dlya-payki-fim-15ml-connector/" TargetMode="External"/><Relationship Id="rId_hyperlink_2828" Type="http://schemas.openxmlformats.org/officeDocument/2006/relationships/hyperlink" Target="https://optovikufa.ru/product/236261/flyus-dlya-payki-fim-20ml-s-kistochkoy-connector/" TargetMode="External"/><Relationship Id="rId_hyperlink_2829" Type="http://schemas.openxmlformats.org/officeDocument/2006/relationships/hyperlink" Target="https://optovikufa.ru/product/236260/flyus-dlya-payki-fim-25ml-connector/" TargetMode="External"/><Relationship Id="rId_hyperlink_2830" Type="http://schemas.openxmlformats.org/officeDocument/2006/relationships/hyperlink" Target="https://optovikufa.ru/product/242532/nabor-mikrosverel-dlya-pechatnoy-platy-01-1mm-hvostovik-3175mm-karbid-volframovaya-stal-10sht/" TargetMode="External"/><Relationship Id="rId_hyperlink_2831" Type="http://schemas.openxmlformats.org/officeDocument/2006/relationships/hyperlink" Target="https://optovikufa.ru/product/240115/nabor-mikrosverel-dlya-pechatnoy-platy-03-12mm-hvostovik-3175mm-karbid-volframovaya-stal-10sht/" TargetMode="External"/><Relationship Id="rId_hyperlink_2832" Type="http://schemas.openxmlformats.org/officeDocument/2006/relationships/hyperlink" Target="https://optovikufa.ru/product/234928/nabor-mikrosverel-dlya-pechatnoy-platy-06-15mm-hvostovik-3175mm-karbid-volframovaya-stal-10sht-sx30e/" TargetMode="External"/><Relationship Id="rId_hyperlink_2833" Type="http://schemas.openxmlformats.org/officeDocument/2006/relationships/hyperlink" Target="https://optovikufa.ru/product/232913/sverlo-dlya-pechatnoy-platy-13mm-hvostovik-3175mm-karbid-volframovaya-stal-sx30e/" TargetMode="External"/><Relationship Id="rId_hyperlink_2834" Type="http://schemas.openxmlformats.org/officeDocument/2006/relationships/hyperlink" Target="https://optovikufa.ru/product/232914/sverlo-dlya-pechatnoy-platy-14mm-hvostovik-3175mm-karbid-volframovaya-stal-sx30e/" TargetMode="External"/><Relationship Id="rId_hyperlink_2835" Type="http://schemas.openxmlformats.org/officeDocument/2006/relationships/hyperlink" Target="https://optovikufa.ru/product/171725/hlornoe-zhelezo-100gr-connector/" TargetMode="External"/><Relationship Id="rId_hyperlink_2836" Type="http://schemas.openxmlformats.org/officeDocument/2006/relationships/hyperlink" Target="https://optovikufa.ru/product/236265/hlornoe-zhelezo-250gr-connector/" TargetMode="External"/><Relationship Id="rId_hyperlink_2837" Type="http://schemas.openxmlformats.org/officeDocument/2006/relationships/hyperlink" Target="https://optovikufa.ru/product/165226/teploprovodyaschaya-pasta-kpt-8-10g-shpric/" TargetMode="External"/><Relationship Id="rId_hyperlink_2838" Type="http://schemas.openxmlformats.org/officeDocument/2006/relationships/hyperlink" Target="https://optovikufa.ru/product/177433/teploprovodyaschaya-pasta-kpt-8-18g-tyubik-25/" TargetMode="External"/><Relationship Id="rId_hyperlink_2839" Type="http://schemas.openxmlformats.org/officeDocument/2006/relationships/hyperlink" Target="https://optovikufa.ru/product/154135/teploprovodyaschaya-pasta-kpt-8-20g-shpric/" TargetMode="External"/><Relationship Id="rId_hyperlink_2840" Type="http://schemas.openxmlformats.org/officeDocument/2006/relationships/hyperlink" Target="https://optovikufa.ru/product/241314/termopasta-gd-2-3g/" TargetMode="External"/><Relationship Id="rId_hyperlink_2841" Type="http://schemas.openxmlformats.org/officeDocument/2006/relationships/hyperlink" Target="https://optovikufa.ru/product/241315/termopasta-gd007-3g/" TargetMode="External"/><Relationship Id="rId_hyperlink_2842" Type="http://schemas.openxmlformats.org/officeDocument/2006/relationships/hyperlink" Target="https://optovikufa.ru/product/241316/termopasta-gd900-3g/" TargetMode="External"/><Relationship Id="rId_hyperlink_2843" Type="http://schemas.openxmlformats.org/officeDocument/2006/relationships/hyperlink" Target="https://optovikufa.ru/product/134554/termopasta-halnziye-hy-510-20g/" TargetMode="External"/><Relationship Id="rId_hyperlink_2844" Type="http://schemas.openxmlformats.org/officeDocument/2006/relationships/hyperlink" Target="https://optovikufa.ru/product/225976/termopasta-halnziye-hy-610-10g-bochonok/" TargetMode="External"/><Relationship Id="rId_hyperlink_2845" Type="http://schemas.openxmlformats.org/officeDocument/2006/relationships/hyperlink" Target="https://optovikufa.ru/product/127783/termopasta-halnziye-hy-710-15g/" TargetMode="External"/><Relationship Id="rId_hyperlink_2846" Type="http://schemas.openxmlformats.org/officeDocument/2006/relationships/hyperlink" Target="https://optovikufa.ru/product/238445/kovrik-antistaticheskiy-silikonovyy-dlya-montazhnyh-i-remontnyh-rabot-227x355mm/" TargetMode="External"/><Relationship Id="rId_hyperlink_2847" Type="http://schemas.openxmlformats.org/officeDocument/2006/relationships/hyperlink" Target="https://optovikufa.ru/product/238446/kovrik-antistaticheskiy-silikonovyy-dlya-montazhnyh-i-remontnyh-rabot-250x350mm/" TargetMode="External"/><Relationship Id="rId_hyperlink_2848" Type="http://schemas.openxmlformats.org/officeDocument/2006/relationships/hyperlink" Target="https://optovikufa.ru/product/238498/kovrik-antistaticheskiy-silikonovyy-dlya-montazhnyh-i-remontnyh-rabot-300200mm/" TargetMode="External"/><Relationship Id="rId_hyperlink_2849" Type="http://schemas.openxmlformats.org/officeDocument/2006/relationships/hyperlink" Target="https://optovikufa.ru/product/237067/kovrik-antistaticheskiy-silikonovyy-dlya-montazhnyh-i-remontnyh-rabot-zd-154-1b/" TargetMode="External"/><Relationship Id="rId_hyperlink_2850" Type="http://schemas.openxmlformats.org/officeDocument/2006/relationships/hyperlink" Target="https://optovikufa.ru/product/165268/podstavka-dlya-payalnika-klassika-derzhatel-katushki-pripoya-dzhett-sl-1040/" TargetMode="External"/><Relationship Id="rId_hyperlink_2851" Type="http://schemas.openxmlformats.org/officeDocument/2006/relationships/hyperlink" Target="https://optovikufa.ru/product/165270/podstavka-dlya-payalnika-pryamougolnaya-gubka-dlya-ochistki-zhala-dzhett-sl-1041/" TargetMode="External"/><Relationship Id="rId_hyperlink_2852" Type="http://schemas.openxmlformats.org/officeDocument/2006/relationships/hyperlink" Target="https://optovikufa.ru/product/149189/nabor-dlya-payki-pinsun-810-330-5-predmetov/" TargetMode="External"/><Relationship Id="rId_hyperlink_2853" Type="http://schemas.openxmlformats.org/officeDocument/2006/relationships/hyperlink" Target="https://optovikufa.ru/product/149191/nabor-dlya-payki-pinsun-810-60-5-predmetov/" TargetMode="External"/><Relationship Id="rId_hyperlink_2854" Type="http://schemas.openxmlformats.org/officeDocument/2006/relationships/hyperlink" Target="https://optovikufa.ru/product/149192/nabor-dlya-payki-pinsun-ps-630-8-predmetov/" TargetMode="External"/><Relationship Id="rId_hyperlink_2855" Type="http://schemas.openxmlformats.org/officeDocument/2006/relationships/hyperlink" Target="https://optovikufa.ru/product/149193/nabor-dlya-payki-pinsun-ps816-640-8-predmetov/" TargetMode="External"/><Relationship Id="rId_hyperlink_2856" Type="http://schemas.openxmlformats.org/officeDocument/2006/relationships/hyperlink" Target="https://optovikufa.ru/product/241657/nabor-dlya-payki-pm-inp31-nabor-dlya-payki-24-v-1/" TargetMode="External"/><Relationship Id="rId_hyperlink_2857" Type="http://schemas.openxmlformats.org/officeDocument/2006/relationships/hyperlink" Target="https://optovikufa.ru/product/241663/nabor-dlya-payki-pm-inp37-nabor-dlya-payki-60vt-5-v-1/" TargetMode="External"/><Relationship Id="rId_hyperlink_2858" Type="http://schemas.openxmlformats.org/officeDocument/2006/relationships/hyperlink" Target="https://optovikufa.ru/product/149194/elektropayalnik-pinsun-ps-660-8-predmetov/" TargetMode="External"/><Relationship Id="rId_hyperlink_2859" Type="http://schemas.openxmlformats.org/officeDocument/2006/relationships/hyperlink" Target="https://optovikufa.ru/product/242319/elektropayalnik-pistolet-60vt-spark-lux-sl-129/" TargetMode="External"/><Relationship Id="rId_hyperlink_2860" Type="http://schemas.openxmlformats.org/officeDocument/2006/relationships/hyperlink" Target="https://optovikufa.ru/product/218519/elektropayalnik-s-line-zd-20a-8vt-12v-dlya-payki-smd-komponentov/" TargetMode="External"/><Relationship Id="rId_hyperlink_2861" Type="http://schemas.openxmlformats.org/officeDocument/2006/relationships/hyperlink" Target="https://optovikufa.ru/product/218520/elektropayalnik-s-line-zd-20d-8vt-na-batareykah-3hr3-45v/" TargetMode="External"/><Relationship Id="rId_hyperlink_2862" Type="http://schemas.openxmlformats.org/officeDocument/2006/relationships/hyperlink" Target="https://optovikufa.ru/product/152212/elektropayalnik-pinsun-560-60vt-220v-indikator-pitaniya-zhalo-tip-konus/" TargetMode="External"/><Relationship Id="rId_hyperlink_2863" Type="http://schemas.openxmlformats.org/officeDocument/2006/relationships/hyperlink" Target="https://optovikufa.ru/product/149205/elektropayalnik-pinsun-640-40vt-220v-indikator-pitaniya-zhalo-tip-konus/" TargetMode="External"/><Relationship Id="rId_hyperlink_2864" Type="http://schemas.openxmlformats.org/officeDocument/2006/relationships/hyperlink" Target="https://optovikufa.ru/product/149206/elektropayalnik-pinsun-660-60vt-220v-indikator-pitaniya-zhalo-tip-konus/" TargetMode="External"/><Relationship Id="rId_hyperlink_2865" Type="http://schemas.openxmlformats.org/officeDocument/2006/relationships/hyperlink" Target="https://optovikufa.ru/product/227735/elektropayalnik-pinsun-ps800-330a-30vt-220v-indikator-pitaniya-zhalo-tip-konus/" TargetMode="External"/><Relationship Id="rId_hyperlink_2866" Type="http://schemas.openxmlformats.org/officeDocument/2006/relationships/hyperlink" Target="https://optovikufa.ru/product/227736/elektropayalnik-pinsun-ps800-340a-40vt-220v-indikator-pitaniya-zhalo-tip-konus/" TargetMode="External"/><Relationship Id="rId_hyperlink_2867" Type="http://schemas.openxmlformats.org/officeDocument/2006/relationships/hyperlink" Target="https://optovikufa.ru/product/227737/elektropayalnik-pinsun-ps800-360a-60vt-220v-indikator-pitaniya-zhalo-tip-konus/" TargetMode="External"/><Relationship Id="rId_hyperlink_2868" Type="http://schemas.openxmlformats.org/officeDocument/2006/relationships/hyperlink" Target="https://optovikufa.ru/product/234797/elektropayalnik-s-line-zd-23-20vt-220v-s-keramnagrevatelem-i-dolgovechnym-long-life-zhalom/" TargetMode="External"/><Relationship Id="rId_hyperlink_2869" Type="http://schemas.openxmlformats.org/officeDocument/2006/relationships/hyperlink" Target="https://optovikufa.ru/product/228965/elektropayalnik-x-pert-hl017-100vt-mednoe-zhalo-s-dolgovechnym-zaschitnym-pokrytiem/" TargetMode="External"/><Relationship Id="rId_hyperlink_2870" Type="http://schemas.openxmlformats.org/officeDocument/2006/relationships/hyperlink" Target="https://optovikufa.ru/product/236431/elektropayalnik-podstavka-v-komplekte-30vt-pinsun-ps-1018/" TargetMode="External"/><Relationship Id="rId_hyperlink_2871" Type="http://schemas.openxmlformats.org/officeDocument/2006/relationships/hyperlink" Target="https://optovikufa.ru/product/236433/elektropayalnik-podstavka-v-komplekte-60vt-pinsun-ps-1018/" TargetMode="External"/><Relationship Id="rId_hyperlink_2872" Type="http://schemas.openxmlformats.org/officeDocument/2006/relationships/hyperlink" Target="https://optovikufa.ru/product/240585/nabor-dlya-payalnyh-rabot-termolyuks-payalnik-40vt/" TargetMode="External"/><Relationship Id="rId_hyperlink_2873" Type="http://schemas.openxmlformats.org/officeDocument/2006/relationships/hyperlink" Target="https://optovikufa.ru/product/240587/nabor-dlya-payalnyh-rabot-termolyuks-payalnik-80vt/" TargetMode="External"/><Relationship Id="rId_hyperlink_2874" Type="http://schemas.openxmlformats.org/officeDocument/2006/relationships/hyperlink" Target="https://optovikufa.ru/product/240583/nabor-dlya-payalnyh-rabot-termolyuks-payalnik-100vt/" TargetMode="External"/><Relationship Id="rId_hyperlink_2875" Type="http://schemas.openxmlformats.org/officeDocument/2006/relationships/hyperlink" Target="https://optovikufa.ru/product/240507/payalnik-elektricheskiy-100vt-hl019a/" TargetMode="External"/><Relationship Id="rId_hyperlink_2876" Type="http://schemas.openxmlformats.org/officeDocument/2006/relationships/hyperlink" Target="https://optovikufa.ru/product/240506/payalnik-elektricheskiy-200vt-hl019a/" TargetMode="External"/><Relationship Id="rId_hyperlink_2877" Type="http://schemas.openxmlformats.org/officeDocument/2006/relationships/hyperlink" Target="https://optovikufa.ru/product/240505/payalnik-elektricheskiy-300vt-hl019a/" TargetMode="External"/><Relationship Id="rId_hyperlink_2878" Type="http://schemas.openxmlformats.org/officeDocument/2006/relationships/hyperlink" Target="https://optovikufa.ru/product/240504/payalnik-elektricheskiy-80vt-hl019a/" TargetMode="External"/><Relationship Id="rId_hyperlink_2879" Type="http://schemas.openxmlformats.org/officeDocument/2006/relationships/hyperlink" Target="https://optovikufa.ru/product/242320/payalnik-elektricheskiy-80vt-plastikovaya-ruchka-spark-lux/" TargetMode="External"/><Relationship Id="rId_hyperlink_2880" Type="http://schemas.openxmlformats.org/officeDocument/2006/relationships/hyperlink" Target="https://optovikufa.ru/product/241973/elektropayalnik-100vt220v-derevyannaya-ruchka-spark-lux/" TargetMode="External"/><Relationship Id="rId_hyperlink_2881" Type="http://schemas.openxmlformats.org/officeDocument/2006/relationships/hyperlink" Target="https://optovikufa.ru/product/241974/elektropayalnik-150vt220v-derevyannaya-ruchka-spark-lux/" TargetMode="External"/><Relationship Id="rId_hyperlink_2882" Type="http://schemas.openxmlformats.org/officeDocument/2006/relationships/hyperlink" Target="https://optovikufa.ru/product/170254/elektropayalnik-pomoschnik-pd-100-100vt220v-derevyannaya-ruchka-mednoe-zhalo-tip-lopatka/" TargetMode="External"/><Relationship Id="rId_hyperlink_2883" Type="http://schemas.openxmlformats.org/officeDocument/2006/relationships/hyperlink" Target="https://optovikufa.ru/product/170255/elektropayalnik-pomoschnik-pd-25-25vt220v-derevyannaya-ruchka-mednoe-zhalo-tip-lopatka/" TargetMode="External"/><Relationship Id="rId_hyperlink_2884" Type="http://schemas.openxmlformats.org/officeDocument/2006/relationships/hyperlink" Target="https://optovikufa.ru/product/158633/elektropayalnik-pomoschnik-pd-40-40vt220v-derevyannaya-ruchka-mednoe-zhalo-tip-lopatka/" TargetMode="External"/><Relationship Id="rId_hyperlink_2885" Type="http://schemas.openxmlformats.org/officeDocument/2006/relationships/hyperlink" Target="https://optovikufa.ru/product/170256/elektropayalnik-pomoschnik-pd-80-80vt220v-derevyannaya-ruchka-mednoe-zhalo-tip-lopatka/" TargetMode="External"/><Relationship Id="rId_hyperlink_2886" Type="http://schemas.openxmlformats.org/officeDocument/2006/relationships/hyperlink" Target="https://optovikufa.ru/product/141658/elektropayalnik-epsn-01-25-25vt220v-derevyannaya-ruchka/" TargetMode="External"/><Relationship Id="rId_hyperlink_2887" Type="http://schemas.openxmlformats.org/officeDocument/2006/relationships/hyperlink" Target="https://optovikufa.ru/product/135466/elektropayalnik-epsn-03-100-100vt220v-derevyannaya-ruchka/" TargetMode="External"/><Relationship Id="rId_hyperlink_2888" Type="http://schemas.openxmlformats.org/officeDocument/2006/relationships/hyperlink" Target="https://optovikufa.ru/product/135467/elektropayalnik-epsn-03-40-40vt220v-derevyannaya-ruchka/" TargetMode="External"/><Relationship Id="rId_hyperlink_2889" Type="http://schemas.openxmlformats.org/officeDocument/2006/relationships/hyperlink" Target="https://optovikufa.ru/product/223381/payalnik-elektricheskiy-zd-715l-80w-s-vyklyuchatelem-zhalo-tipa-konus/" TargetMode="External"/><Relationship Id="rId_hyperlink_2890" Type="http://schemas.openxmlformats.org/officeDocument/2006/relationships/hyperlink" Target="https://optovikufa.ru/product/167016/elektropayalnik-pomoschnik-908-pm-inp02-60vt220v-termoregulyator/" TargetMode="External"/><Relationship Id="rId_hyperlink_2891" Type="http://schemas.openxmlformats.org/officeDocument/2006/relationships/hyperlink" Target="https://optovikufa.ru/product/241656/elektropayalnik-pomoschnik-pm-inp30-60vt-termoregulyator-zazemlenie/" TargetMode="External"/><Relationship Id="rId_hyperlink_2892" Type="http://schemas.openxmlformats.org/officeDocument/2006/relationships/hyperlink" Target="https://optovikufa.ru/product/241659/elektropayalnik-pomoschnik-pm-inp34-80vt-termoregulyator/" TargetMode="External"/><Relationship Id="rId_hyperlink_2893" Type="http://schemas.openxmlformats.org/officeDocument/2006/relationships/hyperlink" Target="https://optovikufa.ru/product/241660/elektropayalnik-pomoschnik-pm-inp35-120vt-termoregulyator/" TargetMode="External"/><Relationship Id="rId_hyperlink_2894" Type="http://schemas.openxmlformats.org/officeDocument/2006/relationships/hyperlink" Target="https://optovikufa.ru/product/241661/elektropayalnik-pomoschnik-pm-inp35-60vt-termoregulyator/" TargetMode="External"/><Relationship Id="rId_hyperlink_2895" Type="http://schemas.openxmlformats.org/officeDocument/2006/relationships/hyperlink" Target="https://optovikufa.ru/product/237133/ustroystvo-dlya-udaleniya-pripoya-olovootsos-antistaticheskiy-ekstraktor/" TargetMode="External"/><Relationship Id="rId_hyperlink_2896" Type="http://schemas.openxmlformats.org/officeDocument/2006/relationships/hyperlink" Target="https://optovikufa.ru/product/234104/ustroystvo-dlya-udaleniya-pripoya-olovootsos-antistaticheskiy-ekstraktor-s-line/" TargetMode="External"/><Relationship Id="rId_hyperlink_2897" Type="http://schemas.openxmlformats.org/officeDocument/2006/relationships/hyperlink" Target="https://optovikufa.ru/product/236434/ustroystvo-dlya-udaleniya-pripoya-olovootsos-metall-zoloto-pinsun-ps-807a/" TargetMode="External"/><Relationship Id="rId_hyperlink_2898" Type="http://schemas.openxmlformats.org/officeDocument/2006/relationships/hyperlink" Target="https://optovikufa.ru/product/237132/ustroystvo-dlya-udaleniya-pripoya-olovootsos-metall-siniy/" TargetMode="External"/><Relationship Id="rId_hyperlink_2899" Type="http://schemas.openxmlformats.org/officeDocument/2006/relationships/hyperlink" Target="https://optovikufa.ru/product/165271/ustroystvo-dlya-udaleniya-pripoya-olovootsos-metall-siniy-serebro-dzhett/" TargetMode="External"/><Relationship Id="rId_hyperlink_2900" Type="http://schemas.openxmlformats.org/officeDocument/2006/relationships/hyperlink" Target="https://optovikufa.ru/product/242095/klyuch-dlya-patrona-dreli-13mm-mtv-303-12/" TargetMode="External"/><Relationship Id="rId_hyperlink_2901" Type="http://schemas.openxmlformats.org/officeDocument/2006/relationships/hyperlink" Target="https://optovikufa.ru/product/227430/klyuch-dlya-patrona-dreli-13mm-rezinovoe-pokrytie-x-pert-xp-0220/" TargetMode="External"/><Relationship Id="rId_hyperlink_2902" Type="http://schemas.openxmlformats.org/officeDocument/2006/relationships/hyperlink" Target="https://optovikufa.ru/product/234022/klyuch-dlya-patrona-dreli-16mm-rezinovoe-pokrytie-x-pert-xp-0220/" TargetMode="External"/><Relationship Id="rId_hyperlink_2903" Type="http://schemas.openxmlformats.org/officeDocument/2006/relationships/hyperlink" Target="https://optovikufa.ru/product/241362/patron-dlya-dreli-13mm-klyuch-perehodnik-sds-lit/" TargetMode="External"/><Relationship Id="rId_hyperlink_2904" Type="http://schemas.openxmlformats.org/officeDocument/2006/relationships/hyperlink" Target="https://optovikufa.ru/product/241304/patron-dlya-dreli-drill-chuck-klyuchevoy-trehkulachkovyy-zazhim-15-13mm-na-blistere/" TargetMode="External"/><Relationship Id="rId_hyperlink_2905" Type="http://schemas.openxmlformats.org/officeDocument/2006/relationships/hyperlink" Target="https://optovikufa.ru/product/231738/patron-kulachkovyy-03-65mm-hvostovik-635h30mm-hex-14-black/" TargetMode="External"/><Relationship Id="rId_hyperlink_2906" Type="http://schemas.openxmlformats.org/officeDocument/2006/relationships/hyperlink" Target="https://optovikufa.ru/product/221115/patron-kulachkovyy-mini-03-mm-35mm-na-val-dvigatelya-235mm/" TargetMode="External"/><Relationship Id="rId_hyperlink_2907" Type="http://schemas.openxmlformats.org/officeDocument/2006/relationships/hyperlink" Target="https://optovikufa.ru/product/224729/patron-kulachkovyy-mini-03-mm-35mm-na-val-dvigatelya-317mm/" TargetMode="External"/><Relationship Id="rId_hyperlink_2908" Type="http://schemas.openxmlformats.org/officeDocument/2006/relationships/hyperlink" Target="https://optovikufa.ru/product/234929/patron-kulachkovyy-mini-075mm-20mm-dlya-dreli-m7-mcm7/" TargetMode="External"/><Relationship Id="rId_hyperlink_2909" Type="http://schemas.openxmlformats.org/officeDocument/2006/relationships/hyperlink" Target="https://optovikufa.ru/product/241363/patron-samozazhimnoy-dlya-dreli-i-shurupoverta-13mm-mtv-bajge/" TargetMode="External"/><Relationship Id="rId_hyperlink_2910" Type="http://schemas.openxmlformats.org/officeDocument/2006/relationships/hyperlink" Target="https://optovikufa.ru/product/226919/patron-cangovyy-s-naborom-cang-05-30mm-val-235mm/" TargetMode="External"/><Relationship Id="rId_hyperlink_2911" Type="http://schemas.openxmlformats.org/officeDocument/2006/relationships/hyperlink" Target="https://optovikufa.ru/product/226920/patron-cangovyy-s-naborom-cang-05-30mm-val-317mm/" TargetMode="External"/><Relationship Id="rId_hyperlink_2912" Type="http://schemas.openxmlformats.org/officeDocument/2006/relationships/hyperlink" Target="https://optovikufa.ru/product/238511/patron-cangovyy-s-naborom-cang-05-30mm-val-5mm/" TargetMode="External"/><Relationship Id="rId_hyperlink_2913" Type="http://schemas.openxmlformats.org/officeDocument/2006/relationships/hyperlink" Target="https://optovikufa.ru/product/238501/derzhatel-otreznyh-diskov-osnastka-gravera-bormashiny-hvostovik-235mm-dlina-35mm/" TargetMode="External"/><Relationship Id="rId_hyperlink_2914" Type="http://schemas.openxmlformats.org/officeDocument/2006/relationships/hyperlink" Target="https://optovikufa.ru/product/238504/derzhatel-otreznyh-diskov-osnastka-gravera-bormashiny-hvostovik-3mm-metallicheskaya-shayba/" TargetMode="External"/><Relationship Id="rId_hyperlink_2915" Type="http://schemas.openxmlformats.org/officeDocument/2006/relationships/hyperlink" Target="https://optovikufa.ru/product/166616/nabor-pilnyh-mini-diskov-s-derzhatelem-6pr-blister/" TargetMode="External"/><Relationship Id="rId_hyperlink_2916" Type="http://schemas.openxmlformats.org/officeDocument/2006/relationships/hyperlink" Target="https://optovikufa.ru/product/235311/nabor-pilnyh-mini-diskov-s-derzhatelem-6pr-v-pakete/" TargetMode="External"/><Relationship Id="rId_hyperlink_2917" Type="http://schemas.openxmlformats.org/officeDocument/2006/relationships/hyperlink" Target="https://optovikufa.ru/product/235309/nabor-nasadok-dlya-graverov-i-bormashin-105-sht/" TargetMode="External"/><Relationship Id="rId_hyperlink_2918" Type="http://schemas.openxmlformats.org/officeDocument/2006/relationships/hyperlink" Target="https://optovikufa.ru/product/235310/nabor-nasadok-dlya-graverov-i-bormashin-12-sht/" TargetMode="External"/><Relationship Id="rId_hyperlink_2919" Type="http://schemas.openxmlformats.org/officeDocument/2006/relationships/hyperlink" Target="https://optovikufa.ru/product/238500/nabor-frez-sharoshek-po-derevu-dlya-dlya-gravera-6-sht-hvostovik-317mm/" TargetMode="External"/><Relationship Id="rId_hyperlink_2920" Type="http://schemas.openxmlformats.org/officeDocument/2006/relationships/hyperlink" Target="https://optovikufa.ru/product/238348/nabor-sharoshek-s-almaznym-napyleniem-nabor-30sht/" TargetMode="External"/><Relationship Id="rId_hyperlink_2921" Type="http://schemas.openxmlformats.org/officeDocument/2006/relationships/hyperlink" Target="https://optovikufa.ru/product/239613/disk-otreznoy-almaznyy-turbo-125h222mm-suhaya-i-vlazhnaya-rezka-dlya-rezki-kafelya-kirpicha-kamnya-betona-kr-90-0121/" TargetMode="External"/><Relationship Id="rId_hyperlink_2922" Type="http://schemas.openxmlformats.org/officeDocument/2006/relationships/hyperlink" Target="https://optovikufa.ru/product/239612/disk-otreznoy-almaznyy-turbo-volna-125h222mm-suhaya-i-vlazhnaya-rezka-dlya-rezki-kafelya-kirpicha-kamnya-betona-kr-90-0131/" TargetMode="External"/><Relationship Id="rId_hyperlink_2923" Type="http://schemas.openxmlformats.org/officeDocument/2006/relationships/hyperlink" Target="https://optovikufa.ru/product/239615/disk-otreznoy-po-metallu-1251022-kr-90-0912/" TargetMode="External"/><Relationship Id="rId_hyperlink_2924" Type="http://schemas.openxmlformats.org/officeDocument/2006/relationships/hyperlink" Target="https://optovikufa.ru/product/239616/disk-otreznoy-po-metallu-1251222-kr-90-0913/" TargetMode="External"/><Relationship Id="rId_hyperlink_2925" Type="http://schemas.openxmlformats.org/officeDocument/2006/relationships/hyperlink" Target="https://optovikufa.ru/product/239618/disk-otreznoy-po-metallu-1801622-kr-90-0932/" TargetMode="External"/><Relationship Id="rId_hyperlink_2926" Type="http://schemas.openxmlformats.org/officeDocument/2006/relationships/hyperlink" Target="https://optovikufa.ru/product/236634/nabor-schetok-dlya-dreli-5sht-lit/" TargetMode="External"/><Relationship Id="rId_hyperlink_2927" Type="http://schemas.openxmlformats.org/officeDocument/2006/relationships/hyperlink" Target="https://optovikufa.ru/product/236807/schetki-dlya-ushm-chashka-50mmm14-kruchstal-25/" TargetMode="External"/><Relationship Id="rId_hyperlink_2928" Type="http://schemas.openxmlformats.org/officeDocument/2006/relationships/hyperlink" Target="https://optovikufa.ru/product/236808/schetki-dlya-ushm-chashka-50mmm14-latun-25/" TargetMode="External"/><Relationship Id="rId_hyperlink_2929" Type="http://schemas.openxmlformats.org/officeDocument/2006/relationships/hyperlink" Target="https://optovikufa.ru/product/237700/schetki-dlya-ushm-chashka-75mmm14-kruchstal-3/" TargetMode="External"/><Relationship Id="rId_hyperlink_2930" Type="http://schemas.openxmlformats.org/officeDocument/2006/relationships/hyperlink" Target="https://optovikufa.ru/product/237701/schetki-dlya-ushm-chashka-75mmm14-latun-3/" TargetMode="External"/><Relationship Id="rId_hyperlink_2931" Type="http://schemas.openxmlformats.org/officeDocument/2006/relationships/hyperlink" Target="https://optovikufa.ru/product/238648/schetki-dlya-ushm-chashka-100mmm14-kruchstal-4/" TargetMode="External"/><Relationship Id="rId_hyperlink_2932" Type="http://schemas.openxmlformats.org/officeDocument/2006/relationships/hyperlink" Target="https://optovikufa.ru/product/168021/abrazivnaya-bumaga-lipuchka-d125mm-p100-upak100sht/" TargetMode="External"/><Relationship Id="rId_hyperlink_2933" Type="http://schemas.openxmlformats.org/officeDocument/2006/relationships/hyperlink" Target="https://optovikufa.ru/product/168023/abrazivnaya-bumaga-lipuchka-d125mm-p40-100/" TargetMode="External"/><Relationship Id="rId_hyperlink_2934" Type="http://schemas.openxmlformats.org/officeDocument/2006/relationships/hyperlink" Target="https://optovikufa.ru/product/168024/abrazivnaya-bumaga-lipuchka-d125mm-p60-100/" TargetMode="External"/><Relationship Id="rId_hyperlink_2935" Type="http://schemas.openxmlformats.org/officeDocument/2006/relationships/hyperlink" Target="https://optovikufa.ru/product/168025/abrazivnaya-bumaga-lipuchka-d125mm-p80-100/" TargetMode="External"/><Relationship Id="rId_hyperlink_2936" Type="http://schemas.openxmlformats.org/officeDocument/2006/relationships/hyperlink" Target="https://optovikufa.ru/product/238893/abrazivnaya-bumaga-lipuchka-s-otverstiyami-d125mm-p100-50/" TargetMode="External"/><Relationship Id="rId_hyperlink_2937" Type="http://schemas.openxmlformats.org/officeDocument/2006/relationships/hyperlink" Target="https://optovikufa.ru/product/240347/disk-opornyy-s-lipuchkoy-115mm-x-pert-v-pakete-xp-bp115/" TargetMode="External"/><Relationship Id="rId_hyperlink_2938" Type="http://schemas.openxmlformats.org/officeDocument/2006/relationships/hyperlink" Target="https://optovikufa.ru/product/168045/disk-opornyy-s-lipuchkoy-125mm-zheltyy-41664/" TargetMode="External"/><Relationship Id="rId_hyperlink_2939" Type="http://schemas.openxmlformats.org/officeDocument/2006/relationships/hyperlink" Target="https://optovikufa.ru/product/168046/disk-opornyy-s-lipuchkoy-125mm-krasnyy-47457/" TargetMode="External"/><Relationship Id="rId_hyperlink_2940" Type="http://schemas.openxmlformats.org/officeDocument/2006/relationships/hyperlink" Target="https://optovikufa.ru/product/240935/disk-opornyy-s-lipuchkoy-125mm-perehodnik-m14-indupak-xp-0245/" TargetMode="External"/><Relationship Id="rId_hyperlink_2941" Type="http://schemas.openxmlformats.org/officeDocument/2006/relationships/hyperlink" Target="https://optovikufa.ru/product/240936/disk-opornyy-s-lipuchkoy-150mm/" TargetMode="External"/><Relationship Id="rId_hyperlink_2942" Type="http://schemas.openxmlformats.org/officeDocument/2006/relationships/hyperlink" Target="https://optovikufa.ru/product/240937/disk-opornyy-s-lipuchkoy-180mm/" TargetMode="External"/><Relationship Id="rId_hyperlink_2943" Type="http://schemas.openxmlformats.org/officeDocument/2006/relationships/hyperlink" Target="https://optovikufa.ru/product/240348/disk-opornyy-s-lipuchkoy-180mm-x-pert-v-pakete-56971-xp-bp180/" TargetMode="External"/><Relationship Id="rId_hyperlink_2944" Type="http://schemas.openxmlformats.org/officeDocument/2006/relationships/hyperlink" Target="https://optovikufa.ru/product/238349/pilki-dlya-el-lobzika-t101ao-figurnyy-chistyy-rez-po-derevu-polotno-83mm-lit-5shtupak-cena-za-blister/" TargetMode="External"/><Relationship Id="rId_hyperlink_2945" Type="http://schemas.openxmlformats.org/officeDocument/2006/relationships/hyperlink" Target="https://optovikufa.ru/product/238350/pilki-dlya-el-lobzika-t118a-chistyy-rez-po-metallu-polotno-77mm-lit-5shtupak-cena-za-blister/" TargetMode="External"/><Relationship Id="rId_hyperlink_2946" Type="http://schemas.openxmlformats.org/officeDocument/2006/relationships/hyperlink" Target="https://optovikufa.ru/product/238351/pilki-dlya-el-lobzika-t144d-pryamoy-bystryy-rez-po-derevu-polotno-100mm-lit-5shtupak-cena-za-blister/" TargetMode="External"/><Relationship Id="rId_hyperlink_2947" Type="http://schemas.openxmlformats.org/officeDocument/2006/relationships/hyperlink" Target="https://optovikufa.ru/product/238352/pilki-dlya-ellobzika-t244d-figurnyy-bystryy-rez-po-derevu-polotno-100mm-lit-5shtupak-cena-za-blister/" TargetMode="External"/><Relationship Id="rId_hyperlink_2948" Type="http://schemas.openxmlformats.org/officeDocument/2006/relationships/hyperlink" Target="https://optovikufa.ru/product/217955/nabor-plashek-8-predmetov-razmery-plashek-m3-m4-m5-m6-m8-m10-m12/" TargetMode="External"/><Relationship Id="rId_hyperlink_2949" Type="http://schemas.openxmlformats.org/officeDocument/2006/relationships/hyperlink" Target="https://optovikufa.ru/product/168049/nabor-dlya-vrezki-zamkov-3pr-54mm-koronka-22mm-sverlo-12985/" TargetMode="External"/><Relationship Id="rId_hyperlink_2950" Type="http://schemas.openxmlformats.org/officeDocument/2006/relationships/hyperlink" Target="https://optovikufa.ru/product/240338/nabor-dlya-ustanovki-vreznyh-zamkov-x-pert-2254mm-blister-xpt-5422/" TargetMode="External"/><Relationship Id="rId_hyperlink_2951" Type="http://schemas.openxmlformats.org/officeDocument/2006/relationships/hyperlink" Target="https://optovikufa.ru/product/241309/nabor-kolcevyh-koronok-po-derevu-x-pert-16-predmetov-19-127mm-v-keyse/" TargetMode="External"/><Relationship Id="rId_hyperlink_2952" Type="http://schemas.openxmlformats.org/officeDocument/2006/relationships/hyperlink" Target="https://optovikufa.ru/product/241360/nabor-kolcevyh-koronok-po-keramicheskoy-plitke-33536773mm-lit/" TargetMode="External"/><Relationship Id="rId_hyperlink_2953" Type="http://schemas.openxmlformats.org/officeDocument/2006/relationships/hyperlink" Target="https://optovikufa.ru/product/166615/nabor-perevyh-sverl-6sht-crott-10-25-mm-3372/" TargetMode="External"/><Relationship Id="rId_hyperlink_2954" Type="http://schemas.openxmlformats.org/officeDocument/2006/relationships/hyperlink" Target="https://optovikufa.ru/product/235826/nabor-pil-kolcevyh-v-keyse-11-predmetov-lit/" TargetMode="External"/><Relationship Id="rId_hyperlink_2955" Type="http://schemas.openxmlformats.org/officeDocument/2006/relationships/hyperlink" Target="https://optovikufa.ru/product/239466/sverlo-po-derevu-100mm-smartbuy-sbt-dw-10/" TargetMode="External"/><Relationship Id="rId_hyperlink_2956" Type="http://schemas.openxmlformats.org/officeDocument/2006/relationships/hyperlink" Target="https://optovikufa.ru/product/239467/sverlo-po-derevu-120mm-smartbuy-sbt-dw-12/" TargetMode="External"/><Relationship Id="rId_hyperlink_2957" Type="http://schemas.openxmlformats.org/officeDocument/2006/relationships/hyperlink" Target="https://optovikufa.ru/product/239465/sverlo-po-derevu-80mm-smartbuy-sbt-dw-8/" TargetMode="External"/><Relationship Id="rId_hyperlink_2958" Type="http://schemas.openxmlformats.org/officeDocument/2006/relationships/hyperlink" Target="https://optovikufa.ru/product/227677/sverlo-po-derevu-sparklux-40-120mm-reguliruemoe-dvurezcovoe/" TargetMode="External"/><Relationship Id="rId_hyperlink_2959" Type="http://schemas.openxmlformats.org/officeDocument/2006/relationships/hyperlink" Target="https://optovikufa.ru/product/227678/sverlo-po-derevu-sparklux-40-300mm-reguliruemoe-dvurezcovoe/" TargetMode="External"/><Relationship Id="rId_hyperlink_2960" Type="http://schemas.openxmlformats.org/officeDocument/2006/relationships/hyperlink" Target="https://optovikufa.ru/product/238758/sverlo-po-derevu-perovoe-perevoe-10150mm/" TargetMode="External"/><Relationship Id="rId_hyperlink_2961" Type="http://schemas.openxmlformats.org/officeDocument/2006/relationships/hyperlink" Target="https://optovikufa.ru/product/238759/sverlo-po-derevu-perovoe-perevoe-12150mm/" TargetMode="External"/><Relationship Id="rId_hyperlink_2962" Type="http://schemas.openxmlformats.org/officeDocument/2006/relationships/hyperlink" Target="https://optovikufa.ru/product/238760/sverlo-po-derevu-perovoe-perevoe-14150mm/" TargetMode="External"/><Relationship Id="rId_hyperlink_2963" Type="http://schemas.openxmlformats.org/officeDocument/2006/relationships/hyperlink" Target="https://optovikufa.ru/product/230661/sverlo-po-derevu-perovoe-perevoe-18150mm/" TargetMode="External"/><Relationship Id="rId_hyperlink_2964" Type="http://schemas.openxmlformats.org/officeDocument/2006/relationships/hyperlink" Target="https://optovikufa.ru/product/238070/koronka-almaznaya-po-kafelyu-6mm-lit-bl-5-cena-za-shtuku/" TargetMode="External"/><Relationship Id="rId_hyperlink_2965" Type="http://schemas.openxmlformats.org/officeDocument/2006/relationships/hyperlink" Target="https://optovikufa.ru/product/238071/koronka-almaznaya-po-kafelyu-8mm-lit-bl-5-cena-za-shtuku/" TargetMode="External"/><Relationship Id="rId_hyperlink_2966" Type="http://schemas.openxmlformats.org/officeDocument/2006/relationships/hyperlink" Target="https://optovikufa.ru/product/238068/koronka-almaznaya-po-kafelyu-10mm-lit-bl-5-cena-za-shtuku/" TargetMode="External"/><Relationship Id="rId_hyperlink_2967" Type="http://schemas.openxmlformats.org/officeDocument/2006/relationships/hyperlink" Target="https://optovikufa.ru/product/238069/koronka-almaznaya-po-kafelyu-12mm-lit-bl-2-cena-za-shtuku/" TargetMode="External"/><Relationship Id="rId_hyperlink_2968" Type="http://schemas.openxmlformats.org/officeDocument/2006/relationships/hyperlink" Target="https://optovikufa.ru/product/238047/koronka-almaznaya-po-kafelyu-45mm-spark-lux/" TargetMode="External"/><Relationship Id="rId_hyperlink_2969" Type="http://schemas.openxmlformats.org/officeDocument/2006/relationships/hyperlink" Target="https://optovikufa.ru/product/238048/koronka-almaznaya-po-kafelyu-50mm-spark-lux/" TargetMode="External"/><Relationship Id="rId_hyperlink_2970" Type="http://schemas.openxmlformats.org/officeDocument/2006/relationships/hyperlink" Target="https://optovikufa.ru/product/238049/koronka-almaznaya-po-kafelyu-60mm-spark-lux/" TargetMode="External"/><Relationship Id="rId_hyperlink_2971" Type="http://schemas.openxmlformats.org/officeDocument/2006/relationships/hyperlink" Target="https://optovikufa.ru/product/238496/koronka-almaznaya-po-kafelyu-65mm-spark-lux/" TargetMode="External"/><Relationship Id="rId_hyperlink_2972" Type="http://schemas.openxmlformats.org/officeDocument/2006/relationships/hyperlink" Target="https://optovikufa.ru/product/238497/koronka-almaznaya-po-kafelyu-70mm-spark-lux/" TargetMode="External"/><Relationship Id="rId_hyperlink_2973" Type="http://schemas.openxmlformats.org/officeDocument/2006/relationships/hyperlink" Target="https://optovikufa.ru/product/238052/koronka-almaznaya-po-kafelyu-85mm-spark-lux/" TargetMode="External"/><Relationship Id="rId_hyperlink_2974" Type="http://schemas.openxmlformats.org/officeDocument/2006/relationships/hyperlink" Target="https://optovikufa.ru/product/241364/sverlo-po-steklu-i-kafelyu-6mm-lit/" TargetMode="External"/><Relationship Id="rId_hyperlink_2975" Type="http://schemas.openxmlformats.org/officeDocument/2006/relationships/hyperlink" Target="https://optovikufa.ru/product/233425/sverlo-po-steklu-i-kafelyu-6mm-x-pert/" TargetMode="External"/><Relationship Id="rId_hyperlink_2976" Type="http://schemas.openxmlformats.org/officeDocument/2006/relationships/hyperlink" Target="https://optovikufa.ru/product/238644/sverlo-po-steklu-i-kafelyu-8mm-lit/" TargetMode="External"/><Relationship Id="rId_hyperlink_2977" Type="http://schemas.openxmlformats.org/officeDocument/2006/relationships/hyperlink" Target="https://optovikufa.ru/product/233426/sverlo-po-steklu-i-kafelyu-8mm-x-pert-dx8310/" TargetMode="External"/><Relationship Id="rId_hyperlink_2978" Type="http://schemas.openxmlformats.org/officeDocument/2006/relationships/hyperlink" Target="https://optovikufa.ru/product/238643/sverlo-po-steklu-i-kafelyu-10mm-lit/" TargetMode="External"/><Relationship Id="rId_hyperlink_2979" Type="http://schemas.openxmlformats.org/officeDocument/2006/relationships/hyperlink" Target="https://optovikufa.ru/product/241981/sverlo-po-steklu-i-kafelyu-10mm-x-pert-dx-8380/" TargetMode="External"/><Relationship Id="rId_hyperlink_2980" Type="http://schemas.openxmlformats.org/officeDocument/2006/relationships/hyperlink" Target="https://optovikufa.ru/product/238944/nabor-sverl-po-metallu-1-10mm-19sht-v-keyse-lit-181733-56359-183350/" TargetMode="External"/><Relationship Id="rId_hyperlink_2981" Type="http://schemas.openxmlformats.org/officeDocument/2006/relationships/hyperlink" Target="https://optovikufa.ru/product/229815/nabor-sverl-po-metallu-x-pert-15-65mm-s-shagom-02-05mm-13sht-v-keyse/" TargetMode="External"/><Relationship Id="rId_hyperlink_2982" Type="http://schemas.openxmlformats.org/officeDocument/2006/relationships/hyperlink" Target="https://optovikufa.ru/product/231608/nabor-sverl-po-metallu-x-pert-1-10mm-s-shagom-1mm-10sht-v-keyse/" TargetMode="External"/><Relationship Id="rId_hyperlink_2983" Type="http://schemas.openxmlformats.org/officeDocument/2006/relationships/hyperlink" Target="https://optovikufa.ru/product/238748/sverlo-po-metallu-15mm-x-pertna-blistere/" TargetMode="External"/><Relationship Id="rId_hyperlink_2984" Type="http://schemas.openxmlformats.org/officeDocument/2006/relationships/hyperlink" Target="https://optovikufa.ru/product/238756/sverlo-po-metallu-10mm-x-pertna-blistere/" TargetMode="External"/><Relationship Id="rId_hyperlink_2985" Type="http://schemas.openxmlformats.org/officeDocument/2006/relationships/hyperlink" Target="https://optovikufa.ru/product/238757/sverlo-po-metallu-12mm-x-pertna-blistere/" TargetMode="External"/><Relationship Id="rId_hyperlink_2986" Type="http://schemas.openxmlformats.org/officeDocument/2006/relationships/hyperlink" Target="https://optovikufa.ru/product/238754/sverlo-po-metallu-7mm-x-pertna-blistere/" TargetMode="External"/><Relationship Id="rId_hyperlink_2987" Type="http://schemas.openxmlformats.org/officeDocument/2006/relationships/hyperlink" Target="https://optovikufa.ru/product/239470/sverlo-po-metallu-80mm-smartbuy-sbt-dm-8/" TargetMode="External"/><Relationship Id="rId_hyperlink_2988" Type="http://schemas.openxmlformats.org/officeDocument/2006/relationships/hyperlink" Target="https://optovikufa.ru/product/238755/sverlo-po-metallu-8mm-x-pertna-blistere/" TargetMode="External"/><Relationship Id="rId_hyperlink_2989" Type="http://schemas.openxmlformats.org/officeDocument/2006/relationships/hyperlink" Target="https://optovikufa.ru/product/241602/sverlo-po-metallu-9mm-x-pertna-blistere/" TargetMode="External"/><Relationship Id="rId_hyperlink_2990" Type="http://schemas.openxmlformats.org/officeDocument/2006/relationships/hyperlink" Target="https://optovikufa.ru/product/239468/sverlo-po-metalu-120mm-smartbuy-sbt-dm-12/" TargetMode="External"/><Relationship Id="rId_hyperlink_2991" Type="http://schemas.openxmlformats.org/officeDocument/2006/relationships/hyperlink" Target="https://optovikufa.ru/product/241980/nabor-sverl-6v1-stupenchatyh-i-zubchatye-4-20mm-4-32mm-4-12mm-v-bokse-siniy-x-pert/" TargetMode="External"/><Relationship Id="rId_hyperlink_2992" Type="http://schemas.openxmlformats.org/officeDocument/2006/relationships/hyperlink" Target="https://optovikufa.ru/product/241295/nabor-sverl-6v1-sib-lux-stupenchatye-i-zubchatye-4-20mm-4-32mm-4-12mm-v-bokse/" TargetMode="External"/><Relationship Id="rId_hyperlink_2993" Type="http://schemas.openxmlformats.org/officeDocument/2006/relationships/hyperlink" Target="https://optovikufa.ru/product/242329/nabor-sverl-7v1-stupenchatye-i-zubchatye-v-bokse-spark-lux/" TargetMode="External"/><Relationship Id="rId_hyperlink_2994" Type="http://schemas.openxmlformats.org/officeDocument/2006/relationships/hyperlink" Target="https://optovikufa.ru/product/242328/nabor-sverl-7v1-stupenchatye-i-zubchatye-v-bokse-x-pert/" TargetMode="External"/><Relationship Id="rId_hyperlink_2995" Type="http://schemas.openxmlformats.org/officeDocument/2006/relationships/hyperlink" Target="https://optovikufa.ru/product/241361/nabor-stupenchatyh-sverl-po-metallu-3-sht-3-12-4-20-4-32-mm-hss-stal-shestigrannyy-hvostovik-lit/" TargetMode="External"/><Relationship Id="rId_hyperlink_2996" Type="http://schemas.openxmlformats.org/officeDocument/2006/relationships/hyperlink" Target="https://optovikufa.ru/product/158659/nabor-stupenchatyh-sverl-po-metallu-3-sht-3-12-4-20-4-32-mm-vysokokachestvennaya-hss-stal-shestigrannyy-hvostovik-46814/" TargetMode="External"/><Relationship Id="rId_hyperlink_2997" Type="http://schemas.openxmlformats.org/officeDocument/2006/relationships/hyperlink" Target="https://optovikufa.ru/product/241294/sverlo-stupenchatoe-work-zone-4-12mm-na-blistere/" TargetMode="External"/><Relationship Id="rId_hyperlink_2998" Type="http://schemas.openxmlformats.org/officeDocument/2006/relationships/hyperlink" Target="https://optovikufa.ru/product/224713/sverlo-stupenchatoe-po-metallu-4-12-mm-shag-2mm/" TargetMode="External"/><Relationship Id="rId_hyperlink_2999" Type="http://schemas.openxmlformats.org/officeDocument/2006/relationships/hyperlink" Target="https://optovikufa.ru/product/224852/sverlo-stupenchatoe-po-metallu-4-12-4-30mm-hss-stal-nabor-2sht/" TargetMode="External"/><Relationship Id="rId_hyperlink_3000" Type="http://schemas.openxmlformats.org/officeDocument/2006/relationships/hyperlink" Target="https://optovikufa.ru/product/242327/sverlo-stupenchatoe-po-metallu-4-40mm-so-spiralnoy-rezhuschey-kromkoy-x-pert/" TargetMode="External"/><Relationship Id="rId_hyperlink_3001" Type="http://schemas.openxmlformats.org/officeDocument/2006/relationships/hyperlink" Target="https://optovikufa.ru/product/230662/sverlo-stupenchatoe-po-metallu-4-12mm-shestigrannyy-hvostovik-x-pert/" TargetMode="External"/><Relationship Id="rId_hyperlink_3002" Type="http://schemas.openxmlformats.org/officeDocument/2006/relationships/hyperlink" Target="https://optovikufa.ru/product/229812/sverlo-stupenchatoe-po-metallu-4-40mm-hss-4241-x-pert/" TargetMode="External"/><Relationship Id="rId_hyperlink_3003" Type="http://schemas.openxmlformats.org/officeDocument/2006/relationships/hyperlink" Target="https://optovikufa.ru/product/241986/bur-po-betonu-usilennyy-sds-6h160mm-x-pert-v-kolbe/" TargetMode="External"/><Relationship Id="rId_hyperlink_3004" Type="http://schemas.openxmlformats.org/officeDocument/2006/relationships/hyperlink" Target="https://optovikufa.ru/product/242013/bur-po-betonu-usilennyy-sds-6h350mm-x-pert-v-kolbe/" TargetMode="External"/><Relationship Id="rId_hyperlink_3005" Type="http://schemas.openxmlformats.org/officeDocument/2006/relationships/hyperlink" Target="https://optovikufa.ru/product/242004/bur-po-betonu-usilennyy-sds-8h160mm-x-pert-v-kolbe/" TargetMode="External"/><Relationship Id="rId_hyperlink_3006" Type="http://schemas.openxmlformats.org/officeDocument/2006/relationships/hyperlink" Target="https://optovikufa.ru/product/242014/bur-po-betonu-usilennyy-sds-8h350mm-x-pert-v-kolbe/" TargetMode="External"/><Relationship Id="rId_hyperlink_3007" Type="http://schemas.openxmlformats.org/officeDocument/2006/relationships/hyperlink" Target="https://optovikufa.ru/product/242006/bur-po-betonu-usilennyy-sds-10h160mm-x-pert-v-kolbe/" TargetMode="External"/><Relationship Id="rId_hyperlink_3008" Type="http://schemas.openxmlformats.org/officeDocument/2006/relationships/hyperlink" Target="https://optovikufa.ru/product/242008/bur-po-betonu-usilennyy-sds-12h160mm-x-pert-v-kolbe/" TargetMode="External"/><Relationship Id="rId_hyperlink_3009" Type="http://schemas.openxmlformats.org/officeDocument/2006/relationships/hyperlink" Target="https://optovikufa.ru/product/242009/bur-po-betonu-usilennyy-sds-6h210mm-x-pert-v-kolbe/" TargetMode="External"/><Relationship Id="rId_hyperlink_3010" Type="http://schemas.openxmlformats.org/officeDocument/2006/relationships/hyperlink" Target="https://optovikufa.ru/product/242010/bur-po-betonu-usilennyy-sds-8h210mm-x-pert-v-kolbe/" TargetMode="External"/><Relationship Id="rId_hyperlink_3011" Type="http://schemas.openxmlformats.org/officeDocument/2006/relationships/hyperlink" Target="https://optovikufa.ru/product/242005/bur-po-betonu-usilennyy-sds-10h160mm-x-pert-v-kolbe/" TargetMode="External"/><Relationship Id="rId_hyperlink_3012" Type="http://schemas.openxmlformats.org/officeDocument/2006/relationships/hyperlink" Target="https://optovikufa.ru/product/242011/bur-po-betonu-usilennyy-sds-10h210mm-x-pert-v-kolbe/" TargetMode="External"/><Relationship Id="rId_hyperlink_3013" Type="http://schemas.openxmlformats.org/officeDocument/2006/relationships/hyperlink" Target="https://optovikufa.ru/product/242015/bur-po-betonu-usilennyy-sds-10h350mm-x-pert-v-kolbe/" TargetMode="External"/><Relationship Id="rId_hyperlink_3014" Type="http://schemas.openxmlformats.org/officeDocument/2006/relationships/hyperlink" Target="https://optovikufa.ru/product/242018/bur-po-betonu-usilennyy-sds-10h500mm-x-pert-v-kolbe/" TargetMode="External"/><Relationship Id="rId_hyperlink_3015" Type="http://schemas.openxmlformats.org/officeDocument/2006/relationships/hyperlink" Target="https://optovikufa.ru/product/242007/bur-po-betonu-usilennyy-sds-12h160mm-x-pert-v-kolbe/" TargetMode="External"/><Relationship Id="rId_hyperlink_3016" Type="http://schemas.openxmlformats.org/officeDocument/2006/relationships/hyperlink" Target="https://optovikufa.ru/product/242016/bur-po-betonu-usilennyy-sds-12h350mm-x-pert-v-kolbe/" TargetMode="External"/><Relationship Id="rId_hyperlink_3017" Type="http://schemas.openxmlformats.org/officeDocument/2006/relationships/hyperlink" Target="https://optovikufa.ru/product/242012/bur-po-betonu-usilennyy-sds-14h210mm-x-pert-v-kolbe/" TargetMode="External"/><Relationship Id="rId_hyperlink_3018" Type="http://schemas.openxmlformats.org/officeDocument/2006/relationships/hyperlink" Target="https://optovikufa.ru/product/242019/bur-po-betonu-usilennyy-sds-14h500mm-x-pert-v-kolbe/" TargetMode="External"/><Relationship Id="rId_hyperlink_3019" Type="http://schemas.openxmlformats.org/officeDocument/2006/relationships/hyperlink" Target="https://optovikufa.ru/product/242017/bur-po-betonu-usilennyy-sds-16h350mm-x-pert-v-kolbe/" TargetMode="External"/><Relationship Id="rId_hyperlink_3020" Type="http://schemas.openxmlformats.org/officeDocument/2006/relationships/hyperlink" Target="https://optovikufa.ru/product/238123/bur-po-betonu-hvostovik-sds-plus-6h100x160-smartbuy-tools/" TargetMode="External"/><Relationship Id="rId_hyperlink_3021" Type="http://schemas.openxmlformats.org/officeDocument/2006/relationships/hyperlink" Target="https://optovikufa.ru/product/242897/bur-po-betonu-hvostovik-sds-plus-6h200x260-smartbuy-tools/" TargetMode="External"/><Relationship Id="rId_hyperlink_3022" Type="http://schemas.openxmlformats.org/officeDocument/2006/relationships/hyperlink" Target="https://optovikufa.ru/product/242899/bur-po-betonu-hvostovik-sds-plus-6h40x100-smartbuy-tools/" TargetMode="External"/><Relationship Id="rId_hyperlink_3023" Type="http://schemas.openxmlformats.org/officeDocument/2006/relationships/hyperlink" Target="https://optovikufa.ru/product/242898/bur-po-betonu-hvostovik-sds-plus-6h60x120-smartbuy-tools/" TargetMode="External"/><Relationship Id="rId_hyperlink_3024" Type="http://schemas.openxmlformats.org/officeDocument/2006/relationships/hyperlink" Target="https://optovikufa.ru/product/238124/bur-po-betonu-hvostovik-sds-plus-8h100x160-smartbuy-tools/" TargetMode="External"/><Relationship Id="rId_hyperlink_3025" Type="http://schemas.openxmlformats.org/officeDocument/2006/relationships/hyperlink" Target="https://optovikufa.ru/product/242900/bur-po-betonu-hvostovik-sds-plus-8h200x260-smartbuy-tools/" TargetMode="External"/><Relationship Id="rId_hyperlink_3026" Type="http://schemas.openxmlformats.org/officeDocument/2006/relationships/hyperlink" Target="https://optovikufa.ru/product/242901/bur-po-betonu-hvostovik-sds-plus-8h400x460-smartbuy-tools/" TargetMode="External"/><Relationship Id="rId_hyperlink_3027" Type="http://schemas.openxmlformats.org/officeDocument/2006/relationships/hyperlink" Target="https://optovikufa.ru/product/242902/bur-po-betonu-hvostovik-sds-plus-8h40x100-smartbuy-tools/" TargetMode="External"/><Relationship Id="rId_hyperlink_3028" Type="http://schemas.openxmlformats.org/officeDocument/2006/relationships/hyperlink" Target="https://optovikufa.ru/product/242903/bur-po-betonu-hvostovik-sds-plus-8h60x120-smartbuy-tools/" TargetMode="External"/><Relationship Id="rId_hyperlink_3029" Type="http://schemas.openxmlformats.org/officeDocument/2006/relationships/hyperlink" Target="https://optovikufa.ru/product/238122/bur-po-betonu-hvostovik-sds-plus-10h100x160-smartbuy-tools/" TargetMode="External"/><Relationship Id="rId_hyperlink_3030" Type="http://schemas.openxmlformats.org/officeDocument/2006/relationships/hyperlink" Target="https://optovikufa.ru/product/242887/bur-po-betonu-hvostovik-sds-plus-10h200x260-smartbuy-tools/" TargetMode="External"/><Relationship Id="rId_hyperlink_3031" Type="http://schemas.openxmlformats.org/officeDocument/2006/relationships/hyperlink" Target="https://optovikufa.ru/product/242888/bur-po-betonu-hvostovik-sds-plus-10h400x460-smartbuy-tools/" TargetMode="External"/><Relationship Id="rId_hyperlink_3032" Type="http://schemas.openxmlformats.org/officeDocument/2006/relationships/hyperlink" Target="https://optovikufa.ru/product/242889/bur-po-betonu-hvostovik-sds-plus-10h40x100-smartbuy-tools/" TargetMode="External"/><Relationship Id="rId_hyperlink_3033" Type="http://schemas.openxmlformats.org/officeDocument/2006/relationships/hyperlink" Target="https://optovikufa.ru/product/242890/bur-po-betonu-hvostovik-sds-plus-10h600x660-smartbuy-tools/" TargetMode="External"/><Relationship Id="rId_hyperlink_3034" Type="http://schemas.openxmlformats.org/officeDocument/2006/relationships/hyperlink" Target="https://optovikufa.ru/product/242891/bur-po-betonu-hvostovik-sds-plus-10h60x120-smartbuy-tools/" TargetMode="External"/><Relationship Id="rId_hyperlink_3035" Type="http://schemas.openxmlformats.org/officeDocument/2006/relationships/hyperlink" Target="https://optovikufa.ru/product/242892/bur-po-betonu-hvostovik-sds-plus-12h200x260-smartbuy-tools/" TargetMode="External"/><Relationship Id="rId_hyperlink_3036" Type="http://schemas.openxmlformats.org/officeDocument/2006/relationships/hyperlink" Target="https://optovikufa.ru/product/242893/bur-po-betonu-hvostovik-sds-plus-12h400x460-smartbuy-tools/" TargetMode="External"/><Relationship Id="rId_hyperlink_3037" Type="http://schemas.openxmlformats.org/officeDocument/2006/relationships/hyperlink" Target="https://optovikufa.ru/product/242894/bur-po-betonu-hvostovik-sds-plus-12h40x100-smartbuy-tools/" TargetMode="External"/><Relationship Id="rId_hyperlink_3038" Type="http://schemas.openxmlformats.org/officeDocument/2006/relationships/hyperlink" Target="https://optovikufa.ru/product/242895/bur-po-betonu-hvostovik-sds-plus-12h600x660-smartbuy-tools/" TargetMode="External"/><Relationship Id="rId_hyperlink_3039" Type="http://schemas.openxmlformats.org/officeDocument/2006/relationships/hyperlink" Target="https://optovikufa.ru/product/242896/bur-po-betonu-hvostovik-sds-plus-12h60x120-smartbuy-tools/" TargetMode="External"/><Relationship Id="rId_hyperlink_3040" Type="http://schemas.openxmlformats.org/officeDocument/2006/relationships/hyperlink" Target="https://optovikufa.ru/product/238921/bur-po-betonu-hvostovik-sds-plus-6h210mm-master/" TargetMode="External"/><Relationship Id="rId_hyperlink_3041" Type="http://schemas.openxmlformats.org/officeDocument/2006/relationships/hyperlink" Target="https://optovikufa.ru/product/243010/zubilo-dlya-perforatorov-14400mm-x-pert/" TargetMode="External"/><Relationship Id="rId_hyperlink_3042" Type="http://schemas.openxmlformats.org/officeDocument/2006/relationships/hyperlink" Target="https://optovikufa.ru/product/243009/zubilo-pikoobraznoe-dlya-perforatorov-14250mm-x-pert/" TargetMode="External"/><Relationship Id="rId_hyperlink_3043" Type="http://schemas.openxmlformats.org/officeDocument/2006/relationships/hyperlink" Target="https://optovikufa.ru/product/243008/zubilo-pikoobraznoe-dlya-perforatorov-14400mm-x-pert/" TargetMode="External"/><Relationship Id="rId_hyperlink_3044" Type="http://schemas.openxmlformats.org/officeDocument/2006/relationships/hyperlink" Target="https://optovikufa.ru/product/241354/kern-pika-sds-14h250mm-lit/" TargetMode="External"/><Relationship Id="rId_hyperlink_3045" Type="http://schemas.openxmlformats.org/officeDocument/2006/relationships/hyperlink" Target="https://optovikufa.ru/product/240342/koronka-burovaya-po-betonu-30mm-v-plastik-upakovke-x-pert/" TargetMode="External"/><Relationship Id="rId_hyperlink_3046" Type="http://schemas.openxmlformats.org/officeDocument/2006/relationships/hyperlink" Target="https://optovikufa.ru/product/240343/koronka-burovaya-po-betonu-40mm-v-plastik-upakovke-x-pert/" TargetMode="External"/><Relationship Id="rId_hyperlink_3047" Type="http://schemas.openxmlformats.org/officeDocument/2006/relationships/hyperlink" Target="https://optovikufa.ru/product/240344/koronka-burovaya-po-betonu-60mm-v-plastik-upakovke-x-pert/" TargetMode="External"/><Relationship Id="rId_hyperlink_3048" Type="http://schemas.openxmlformats.org/officeDocument/2006/relationships/hyperlink" Target="https://optovikufa.ru/product/240346/koronka-burovaya-po-betonu-75mm-v-plastik-upakovke-spark-lux/" TargetMode="External"/><Relationship Id="rId_hyperlink_3049" Type="http://schemas.openxmlformats.org/officeDocument/2006/relationships/hyperlink" Target="https://optovikufa.ru/product/138421/koronka-burovaya-sds-plus-hvostovik-v-sbore-65mm-lit/" TargetMode="External"/><Relationship Id="rId_hyperlink_3050" Type="http://schemas.openxmlformats.org/officeDocument/2006/relationships/hyperlink" Target="https://optovikufa.ru/product/241357/koronka-burovaya-sds-plus-hvostovik-v-sbore-68mm-lit/" TargetMode="External"/><Relationship Id="rId_hyperlink_3051" Type="http://schemas.openxmlformats.org/officeDocument/2006/relationships/hyperlink" Target="https://optovikufa.ru/product/238940/lezviya-dlya-nozha-trapecievidnoe-10sht-lit/" TargetMode="External"/><Relationship Id="rId_hyperlink_3052" Type="http://schemas.openxmlformats.org/officeDocument/2006/relationships/hyperlink" Target="https://optovikufa.ru/product/234351/nozh-patriot-85225sm-babochka/" TargetMode="External"/><Relationship Id="rId_hyperlink_3053" Type="http://schemas.openxmlformats.org/officeDocument/2006/relationships/hyperlink" Target="https://optovikufa.ru/product/234355/nozh-patriot-85225sm-babochka/" TargetMode="External"/><Relationship Id="rId_hyperlink_3054" Type="http://schemas.openxmlformats.org/officeDocument/2006/relationships/hyperlink" Target="https://optovikufa.ru/product/234356/nozh-patriot-85225sm-babochka/" TargetMode="External"/><Relationship Id="rId_hyperlink_3055" Type="http://schemas.openxmlformats.org/officeDocument/2006/relationships/hyperlink" Target="https://optovikufa.ru/product/234357/nozh-patriot-85225sm-babochka/" TargetMode="External"/><Relationship Id="rId_hyperlink_3056" Type="http://schemas.openxmlformats.org/officeDocument/2006/relationships/hyperlink" Target="https://optovikufa.ru/product/234358/nozh-patriot-85225sm-babochka/" TargetMode="External"/><Relationship Id="rId_hyperlink_3057" Type="http://schemas.openxmlformats.org/officeDocument/2006/relationships/hyperlink" Target="https://optovikufa.ru/product/234362/nozh-patriot-85225sm-babochka/" TargetMode="External"/><Relationship Id="rId_hyperlink_3058" Type="http://schemas.openxmlformats.org/officeDocument/2006/relationships/hyperlink" Target="https://optovikufa.ru/product/234363/nozh-patriot-85225sm-babochka/" TargetMode="External"/><Relationship Id="rId_hyperlink_3059" Type="http://schemas.openxmlformats.org/officeDocument/2006/relationships/hyperlink" Target="https://optovikufa.ru/product/234364/nozh-patriot-85225sm-babochka/" TargetMode="External"/><Relationship Id="rId_hyperlink_3060" Type="http://schemas.openxmlformats.org/officeDocument/2006/relationships/hyperlink" Target="https://optovikufa.ru/product/234365/nozh-patriot-85225sm-babochka/" TargetMode="External"/><Relationship Id="rId_hyperlink_3061" Type="http://schemas.openxmlformats.org/officeDocument/2006/relationships/hyperlink" Target="https://optovikufa.ru/product/151488/nozh-patriot-95215sm-babochka/" TargetMode="External"/><Relationship Id="rId_hyperlink_3062" Type="http://schemas.openxmlformats.org/officeDocument/2006/relationships/hyperlink" Target="https://optovikufa.ru/product/234353/nozh-patriot-922sm-babochka/" TargetMode="External"/><Relationship Id="rId_hyperlink_3063" Type="http://schemas.openxmlformats.org/officeDocument/2006/relationships/hyperlink" Target="https://optovikufa.ru/product/234352/nozh-patriot-924sm-babochka/" TargetMode="External"/><Relationship Id="rId_hyperlink_3064" Type="http://schemas.openxmlformats.org/officeDocument/2006/relationships/hyperlink" Target="https://optovikufa.ru/product/228537/nozh-patriot-pt-trk48/" TargetMode="External"/><Relationship Id="rId_hyperlink_3065" Type="http://schemas.openxmlformats.org/officeDocument/2006/relationships/hyperlink" Target="https://optovikufa.ru/product/237810/nozh-skladnoy-2003/" TargetMode="External"/><Relationship Id="rId_hyperlink_3066" Type="http://schemas.openxmlformats.org/officeDocument/2006/relationships/hyperlink" Target="https://optovikufa.ru/product/237812/nozh-skladnoy-2011/" TargetMode="External"/><Relationship Id="rId_hyperlink_3067" Type="http://schemas.openxmlformats.org/officeDocument/2006/relationships/hyperlink" Target="https://optovikufa.ru/product/237814/nozh-skladnoy-2013/" TargetMode="External"/><Relationship Id="rId_hyperlink_3068" Type="http://schemas.openxmlformats.org/officeDocument/2006/relationships/hyperlink" Target="https://optovikufa.ru/product/237815/nozh-skladnoy-2016/" TargetMode="External"/><Relationship Id="rId_hyperlink_3069" Type="http://schemas.openxmlformats.org/officeDocument/2006/relationships/hyperlink" Target="https://optovikufa.ru/product/225682/nozh-skladnoy-2017/" TargetMode="External"/><Relationship Id="rId_hyperlink_3070" Type="http://schemas.openxmlformats.org/officeDocument/2006/relationships/hyperlink" Target="https://optovikufa.ru/product/237818/nozh-skladnoy-2020/" TargetMode="External"/><Relationship Id="rId_hyperlink_3071" Type="http://schemas.openxmlformats.org/officeDocument/2006/relationships/hyperlink" Target="https://optovikufa.ru/product/237820/nozh-skladnoy-2022/" TargetMode="External"/><Relationship Id="rId_hyperlink_3072" Type="http://schemas.openxmlformats.org/officeDocument/2006/relationships/hyperlink" Target="https://optovikufa.ru/product/242454/nozh-skladnoy-d-29-s-metallicheskoy-rukoyatkoy/" TargetMode="External"/><Relationship Id="rId_hyperlink_3073" Type="http://schemas.openxmlformats.org/officeDocument/2006/relationships/hyperlink" Target="https://optovikufa.ru/product/237804/nozh-skladnoy-gl-08/" TargetMode="External"/><Relationship Id="rId_hyperlink_3074" Type="http://schemas.openxmlformats.org/officeDocument/2006/relationships/hyperlink" Target="https://optovikufa.ru/product/237807/nozh-skladnoy-h006/" TargetMode="External"/><Relationship Id="rId_hyperlink_3075" Type="http://schemas.openxmlformats.org/officeDocument/2006/relationships/hyperlink" Target="https://optovikufa.ru/product/226265/lezviya-dlya-nozha-18mm-trapecievidnoe-10sht-smartbuy-sbt-skt-18/" TargetMode="External"/><Relationship Id="rId_hyperlink_3076" Type="http://schemas.openxmlformats.org/officeDocument/2006/relationships/hyperlink" Target="https://optovikufa.ru/product/241358/lezviya-dlya-nozha-tehnicheskogo-18mm-10sht-v-bokse-lit/" TargetMode="External"/><Relationship Id="rId_hyperlink_3077" Type="http://schemas.openxmlformats.org/officeDocument/2006/relationships/hyperlink" Target="https://optovikufa.ru/product/238302/nozh-dlya-gipsokartona-skladnoy-18mm2-lezviya-s-fiksatorom-polozheniya-x-pert-xp-fk1021/" TargetMode="External"/><Relationship Id="rId_hyperlink_3078" Type="http://schemas.openxmlformats.org/officeDocument/2006/relationships/hyperlink" Target="https://optovikufa.ru/product/241936/nozh-dlya-gipsokartona-skladnoy-18mmnabor-lezviy-blister-x-pert-dk-818/" TargetMode="External"/><Relationship Id="rId_hyperlink_3079" Type="http://schemas.openxmlformats.org/officeDocument/2006/relationships/hyperlink" Target="https://optovikufa.ru/product/226267/nozh-stroitelnyy-smartbuy-prorezinennyy-stalnoy-korpus-sbt-knt-18p2/" TargetMode="External"/><Relationship Id="rId_hyperlink_3080" Type="http://schemas.openxmlformats.org/officeDocument/2006/relationships/hyperlink" Target="https://optovikufa.ru/product/242247/nozh-tehnicheskiy-s-vydvizhnym-lezviem-18mm-plastikovyy-korpus-catenai-blade-k300/" TargetMode="External"/><Relationship Id="rId_hyperlink_3081" Type="http://schemas.openxmlformats.org/officeDocument/2006/relationships/hyperlink" Target="https://optovikufa.ru/product/242246/nozh-tehnicheskiy-s-vydvizhnym-lezviem-18mm-plastikovyy-korpus-cutter-knife-rx-308/" TargetMode="External"/><Relationship Id="rId_hyperlink_3082" Type="http://schemas.openxmlformats.org/officeDocument/2006/relationships/hyperlink" Target="https://optovikufa.ru/product/242245/nozh-tehnicheskiy-s-vydvizhnym-lezviem-18mm-plastikovyy-korpus-rlinxin-rx-309/" TargetMode="External"/><Relationship Id="rId_hyperlink_3083" Type="http://schemas.openxmlformats.org/officeDocument/2006/relationships/hyperlink" Target="https://optovikufa.ru/product/241070/stroitelnyy-nozh-9-mm-otlam-lezvie-ostryy-torec-alyum-korpus-smartbuy-tools288-sbt-knb-9p2/" TargetMode="External"/><Relationship Id="rId_hyperlink_3084" Type="http://schemas.openxmlformats.org/officeDocument/2006/relationships/hyperlink" Target="https://optovikufa.ru/product/129776/nabor-rezakov-skalpeley-komplekt-figurnyh-lezviy-13-predmetov-futlyar/" TargetMode="External"/><Relationship Id="rId_hyperlink_3085" Type="http://schemas.openxmlformats.org/officeDocument/2006/relationships/hyperlink" Target="https://optovikufa.ru/product/228509/skalpel-dlya-montazhnyh-rabot-5-lezviy-v-komplekte-bs529246/" TargetMode="External"/><Relationship Id="rId_hyperlink_3086" Type="http://schemas.openxmlformats.org/officeDocument/2006/relationships/hyperlink" Target="https://optovikufa.ru/product/225324/skalpel-radiomontazhnyy-pt-ino03/" TargetMode="External"/><Relationship Id="rId_hyperlink_3087" Type="http://schemas.openxmlformats.org/officeDocument/2006/relationships/hyperlink" Target="https://optovikufa.ru/product/242249/nozhnicy-kancelyarskie-55-plastikovye-ruchki-scissors/" TargetMode="External"/><Relationship Id="rId_hyperlink_3088" Type="http://schemas.openxmlformats.org/officeDocument/2006/relationships/hyperlink" Target="https://optovikufa.ru/product/242250/nozhnicy-kancelyarskie-65-plastikovye-ruchki-scissors/" TargetMode="External"/><Relationship Id="rId_hyperlink_3089" Type="http://schemas.openxmlformats.org/officeDocument/2006/relationships/hyperlink" Target="https://optovikufa.ru/product/242251/nozhnicy-kancelyarskie-75-plastikovye-ruchki-scissors/" TargetMode="External"/><Relationship Id="rId_hyperlink_3090" Type="http://schemas.openxmlformats.org/officeDocument/2006/relationships/hyperlink" Target="https://optovikufa.ru/product/242252/nozhnicy-kancelyarskie-85-plastikovye-ruchki-scissors/" TargetMode="External"/><Relationship Id="rId_hyperlink_3091" Type="http://schemas.openxmlformats.org/officeDocument/2006/relationships/hyperlink" Target="https://optovikufa.ru/product/242253/nozhnicy-kancelyarskie-95-plastikovye-ruchki-scissors/" TargetMode="External"/><Relationship Id="rId_hyperlink_3092" Type="http://schemas.openxmlformats.org/officeDocument/2006/relationships/hyperlink" Target="https://optovikufa.ru/product/242335/nozhnicy-po-metallu-10250mm-x-pert-xt-0625/" TargetMode="External"/><Relationship Id="rId_hyperlink_3093" Type="http://schemas.openxmlformats.org/officeDocument/2006/relationships/hyperlink" Target="https://optovikufa.ru/product/242336/nozhnicy-po-metallu-10250mm-pryamoy-rez-plastikkeys-x-pert/" TargetMode="External"/><Relationship Id="rId_hyperlink_3094" Type="http://schemas.openxmlformats.org/officeDocument/2006/relationships/hyperlink" Target="https://optovikufa.ru/product/223262/nozhnicy-po-metallu-250mm-pravye-lit-profi-lt-181328/" TargetMode="External"/><Relationship Id="rId_hyperlink_3095" Type="http://schemas.openxmlformats.org/officeDocument/2006/relationships/hyperlink" Target="https://optovikufa.ru/product/232823/steklorez-maslyanyy-rolikovyy-6-12mm/" TargetMode="External"/><Relationship Id="rId_hyperlink_3096" Type="http://schemas.openxmlformats.org/officeDocument/2006/relationships/hyperlink" Target="https://optovikufa.ru/product/232820/steklorez-s-derevyanoy-ruchkoy-jobo/" TargetMode="External"/><Relationship Id="rId_hyperlink_3097" Type="http://schemas.openxmlformats.org/officeDocument/2006/relationships/hyperlink" Target="https://optovikufa.ru/product/241395/dyrokol-dlya-izdeliy-iz-kozhi-lit/" TargetMode="External"/><Relationship Id="rId_hyperlink_3098" Type="http://schemas.openxmlformats.org/officeDocument/2006/relationships/hyperlink" Target="https://optovikufa.ru/product/242476/sekator-lit-zelenye-ruchki/" TargetMode="External"/><Relationship Id="rId_hyperlink_3099" Type="http://schemas.openxmlformats.org/officeDocument/2006/relationships/hyperlink" Target="https://optovikufa.ru/product/242478/sekator-sadovyy-9-220mm-zelen-ruchki-lit-profi/" TargetMode="External"/><Relationship Id="rId_hyperlink_3100" Type="http://schemas.openxmlformats.org/officeDocument/2006/relationships/hyperlink" Target="https://optovikufa.ru/product/242477/sekator-sadovyy-9-25mm-lit-profi-lt-183313/" TargetMode="External"/><Relationship Id="rId_hyperlink_3101" Type="http://schemas.openxmlformats.org/officeDocument/2006/relationships/hyperlink" Target="https://optovikufa.ru/product/242416/brusok-abrazivnyy-lodochka-220mm/" TargetMode="External"/><Relationship Id="rId_hyperlink_3102" Type="http://schemas.openxmlformats.org/officeDocument/2006/relationships/hyperlink" Target="https://optovikufa.ru/product/237031/brusok-abrazivnyy-dvuhstoronniy-1506-19-01-002/" TargetMode="External"/><Relationship Id="rId_hyperlink_3103" Type="http://schemas.openxmlformats.org/officeDocument/2006/relationships/hyperlink" Target="https://optovikufa.ru/product/125477/nabor-nadfiley-140mm-10-sht/" TargetMode="External"/><Relationship Id="rId_hyperlink_3104" Type="http://schemas.openxmlformats.org/officeDocument/2006/relationships/hyperlink" Target="https://optovikufa.ru/product/234024/nabor-rashpilnyh-nasadok-spark-lux-sl-100-10sht/" TargetMode="External"/><Relationship Id="rId_hyperlink_3105" Type="http://schemas.openxmlformats.org/officeDocument/2006/relationships/hyperlink" Target="https://optovikufa.ru/product/240818/pasta-goi-polirovalnaya-30g-1-rexant/" TargetMode="External"/><Relationship Id="rId_hyperlink_3106" Type="http://schemas.openxmlformats.org/officeDocument/2006/relationships/hyperlink" Target="https://optovikufa.ru/product/173023/pasta-goi-polirovalnaya-30g-2-rexant/" TargetMode="External"/><Relationship Id="rId_hyperlink_3107" Type="http://schemas.openxmlformats.org/officeDocument/2006/relationships/hyperlink" Target="https://optovikufa.ru/product/240819/pasta-goi-polirovalnaya-30g-3-rexant/" TargetMode="External"/><Relationship Id="rId_hyperlink_3108" Type="http://schemas.openxmlformats.org/officeDocument/2006/relationships/hyperlink" Target="https://optovikufa.ru/product/240820/pasta-goi-polirovalnaya-30g-4-rexant/" TargetMode="External"/><Relationship Id="rId_hyperlink_3109" Type="http://schemas.openxmlformats.org/officeDocument/2006/relationships/hyperlink" Target="https://optovikufa.ru/product/240349/shlifovalnyy-list-230280mm-p150-x-pert/" TargetMode="External"/><Relationship Id="rId_hyperlink_3110" Type="http://schemas.openxmlformats.org/officeDocument/2006/relationships/hyperlink" Target="https://optovikufa.ru/product/240350/shlifovalnyy-list-230280mm-p180-x-pert/" TargetMode="External"/><Relationship Id="rId_hyperlink_3111" Type="http://schemas.openxmlformats.org/officeDocument/2006/relationships/hyperlink" Target="https://optovikufa.ru/product/240351/shlifovalnyy-list-230280mm-p220-x-pert/" TargetMode="External"/><Relationship Id="rId_hyperlink_3112" Type="http://schemas.openxmlformats.org/officeDocument/2006/relationships/hyperlink" Target="https://optovikufa.ru/product/241302/bokorezy-x-pert-160mm-prorezin-rukoyatka-cvetnye/" TargetMode="External"/><Relationship Id="rId_hyperlink_3113" Type="http://schemas.openxmlformats.org/officeDocument/2006/relationships/hyperlink" Target="https://optovikufa.ru/product/237879/bokorezy-x-pert-175mm-prorezin-rukoyatka-cvetnye/" TargetMode="External"/><Relationship Id="rId_hyperlink_3114" Type="http://schemas.openxmlformats.org/officeDocument/2006/relationships/hyperlink" Target="https://optovikufa.ru/product/222240/bokorezy-160mm-2h-komp-rukoyatka-stayer/" TargetMode="External"/><Relationship Id="rId_hyperlink_3115" Type="http://schemas.openxmlformats.org/officeDocument/2006/relationships/hyperlink" Target="https://optovikufa.ru/product/222269/bokorezy-160mm-airline-at-dcp-6/" TargetMode="External"/><Relationship Id="rId_hyperlink_3116" Type="http://schemas.openxmlformats.org/officeDocument/2006/relationships/hyperlink" Target="https://optovikufa.ru/product/222273/bokorezy-200mm-airline-at-dcp-8/" TargetMode="External"/><Relationship Id="rId_hyperlink_3117" Type="http://schemas.openxmlformats.org/officeDocument/2006/relationships/hyperlink" Target="https://optovikufa.ru/product/241474/bokorezy-90mm-mini-s-zamkom/" TargetMode="External"/><Relationship Id="rId_hyperlink_3118" Type="http://schemas.openxmlformats.org/officeDocument/2006/relationships/hyperlink" Target="https://optovikufa.ru/product/241376/bokorezy-lit-45-mini-krasno-chernaya-ruchka/" TargetMode="External"/><Relationship Id="rId_hyperlink_3119" Type="http://schemas.openxmlformats.org/officeDocument/2006/relationships/hyperlink" Target="https://optovikufa.ru/product/241377/bokorezy-lit-6-krasno-chernaya-ruchka/" TargetMode="External"/><Relationship Id="rId_hyperlink_3120" Type="http://schemas.openxmlformats.org/officeDocument/2006/relationships/hyperlink" Target="https://optovikufa.ru/product/241378/bokorezy-lit-8-krasno-chernaya-ruchka/" TargetMode="External"/><Relationship Id="rId_hyperlink_3121" Type="http://schemas.openxmlformats.org/officeDocument/2006/relationships/hyperlink" Target="https://optovikufa.ru/product/237880/kusachki-8-200mm-x-pert/" TargetMode="External"/><Relationship Id="rId_hyperlink_3122" Type="http://schemas.openxmlformats.org/officeDocument/2006/relationships/hyperlink" Target="https://optovikufa.ru/product/227584/kusachki-so-striperom-dlya-kabelya-awg-16-32-bosi/" TargetMode="External"/><Relationship Id="rId_hyperlink_3123" Type="http://schemas.openxmlformats.org/officeDocument/2006/relationships/hyperlink" Target="https://optovikufa.ru/product/233643/kusachki-bokorezy-135mm-smartbuy-tools-2-h-komp-rukoyatka-cr-v-stal-hrc51/" TargetMode="External"/><Relationship Id="rId_hyperlink_3124" Type="http://schemas.openxmlformats.org/officeDocument/2006/relationships/hyperlink" Target="https://optovikufa.ru/product/224252/kusachki-bokorezy-200mm-smartbuy-tools-2-h-komp-rukoyatka-cr-v-stal-hrc51/" TargetMode="External"/><Relationship Id="rId_hyperlink_3125" Type="http://schemas.openxmlformats.org/officeDocument/2006/relationships/hyperlink" Target="https://optovikufa.ru/product/241379/boltorez-lit-mini-8200mm/" TargetMode="External"/><Relationship Id="rId_hyperlink_3126" Type="http://schemas.openxmlformats.org/officeDocument/2006/relationships/hyperlink" Target="https://optovikufa.ru/product/238319/boltorez-s-prorezinennoy-ruchkoy-200mm-x-pert-mbc201/" TargetMode="External"/><Relationship Id="rId_hyperlink_3127" Type="http://schemas.openxmlformats.org/officeDocument/2006/relationships/hyperlink" Target="https://optovikufa.ru/product/138396/zazhim-s-fiksatorom-5145mm-xing-bo-45969/" TargetMode="External"/><Relationship Id="rId_hyperlink_3128" Type="http://schemas.openxmlformats.org/officeDocument/2006/relationships/hyperlink" Target="https://optovikufa.ru/product/217466/zazhim-s-fiksatorom-7190mm-xing-bo-45970/" TargetMode="External"/><Relationship Id="rId_hyperlink_3129" Type="http://schemas.openxmlformats.org/officeDocument/2006/relationships/hyperlink" Target="https://optovikufa.ru/product/238780/zazhim-s-fiksatorom-x-pert-xp-008-ruchnye-tiski/" TargetMode="External"/><Relationship Id="rId_hyperlink_3130" Type="http://schemas.openxmlformats.org/officeDocument/2006/relationships/hyperlink" Target="https://optovikufa.ru/product/236401/kleschi-perestavnye-lit-12300mm/" TargetMode="External"/><Relationship Id="rId_hyperlink_3131" Type="http://schemas.openxmlformats.org/officeDocument/2006/relationships/hyperlink" Target="https://optovikufa.ru/product/227429/kleschi-perestavnye-s-knopochnym-fiksatorom-10-250mm-x-pert/" TargetMode="External"/><Relationship Id="rId_hyperlink_3132" Type="http://schemas.openxmlformats.org/officeDocument/2006/relationships/hyperlink" Target="https://optovikufa.ru/product/242331/kleschi-perestavnye-s-knopochnym-fiksatorom-7-175mm-x-pert/" TargetMode="External"/><Relationship Id="rId_hyperlink_3133" Type="http://schemas.openxmlformats.org/officeDocument/2006/relationships/hyperlink" Target="https://optovikufa.ru/product/227405/kleschi-perestavnye-s-knopochnym-fiksatorom-8-200mmspark-lux/" TargetMode="External"/><Relationship Id="rId_hyperlink_3134" Type="http://schemas.openxmlformats.org/officeDocument/2006/relationships/hyperlink" Target="https://optovikufa.ru/product/232850/kleschi-perestavnye-10-x-pert/" TargetMode="External"/><Relationship Id="rId_hyperlink_3135" Type="http://schemas.openxmlformats.org/officeDocument/2006/relationships/hyperlink" Target="https://optovikufa.ru/product/222246/kleschi-perestavnye-200mm-diapazon-4-35mm-2h-komp-rukoyatka-x-pert/" TargetMode="External"/><Relationship Id="rId_hyperlink_3136" Type="http://schemas.openxmlformats.org/officeDocument/2006/relationships/hyperlink" Target="https://optovikufa.ru/product/222247/kleschi-perestavnye-250mm-diapazon-6-40mm-2h-komp-rukoyatka-x-pert/" TargetMode="External"/><Relationship Id="rId_hyperlink_3137" Type="http://schemas.openxmlformats.org/officeDocument/2006/relationships/hyperlink" Target="https://optovikufa.ru/product/222248/kleschi-perestavnye-300mm-diapazon-12-50mm-2h-komp-rukoyatka-x-pert/" TargetMode="External"/><Relationship Id="rId_hyperlink_3138" Type="http://schemas.openxmlformats.org/officeDocument/2006/relationships/hyperlink" Target="https://optovikufa.ru/product/221577/kusachki-torcevye-100mm-suxin-112-5/" TargetMode="External"/><Relationship Id="rId_hyperlink_3139" Type="http://schemas.openxmlformats.org/officeDocument/2006/relationships/hyperlink" Target="https://optovikufa.ru/product/237882/kusachki-torcevye-udlinennyy-9-225mm-x-pert/" TargetMode="External"/><Relationship Id="rId_hyperlink_3140" Type="http://schemas.openxmlformats.org/officeDocument/2006/relationships/hyperlink" Target="https://optovikufa.ru/product/226750/passatizhi-kombinirovannye-160mm-polirovannye-avs-a40179s/" TargetMode="External"/><Relationship Id="rId_hyperlink_3141" Type="http://schemas.openxmlformats.org/officeDocument/2006/relationships/hyperlink" Target="https://optovikufa.ru/product/226751/passatizhi-kombinirovannye-180mm-polirovannye-avs-a40180s/" TargetMode="External"/><Relationship Id="rId_hyperlink_3142" Type="http://schemas.openxmlformats.org/officeDocument/2006/relationships/hyperlink" Target="https://optovikufa.ru/product/226752/passatizhi-kombinirovannye-200mm-polirovannye-avs-a40181s/" TargetMode="External"/><Relationship Id="rId_hyperlink_3143" Type="http://schemas.openxmlformats.org/officeDocument/2006/relationships/hyperlink" Target="https://optovikufa.ru/product/224254/ploskogubcy-passatizhi-180mm-smartbuy-tools-2-h-komp-rukoyatka-cr-v-stal-kombinirovannye/" TargetMode="External"/><Relationship Id="rId_hyperlink_3144" Type="http://schemas.openxmlformats.org/officeDocument/2006/relationships/hyperlink" Target="https://optovikufa.ru/product/237920/ploskogubcy-kombinirovannye-160mm-prorezininovaya-rukoyatka-x-pert/" TargetMode="External"/><Relationship Id="rId_hyperlink_3145" Type="http://schemas.openxmlformats.org/officeDocument/2006/relationships/hyperlink" Target="https://optovikufa.ru/product/237921/ploskogubcy-kombinirovannye-200mm-prorezininovaya-rukoyatka-x-pert/" TargetMode="External"/><Relationship Id="rId_hyperlink_3146" Type="http://schemas.openxmlformats.org/officeDocument/2006/relationships/hyperlink" Target="https://optovikufa.ru/product/241310/ploskogubcy-kombinirovannye-8-200mm-2h-komp-rukoyatka-spark-lux-sl-n8/" TargetMode="External"/><Relationship Id="rId_hyperlink_3147" Type="http://schemas.openxmlformats.org/officeDocument/2006/relationships/hyperlink" Target="https://optovikufa.ru/product/232814/kleschi-dlya-stopornyh-kolec-dlya-vnutrennih-izognutye-gubki-spark-lux-175mm/" TargetMode="External"/><Relationship Id="rId_hyperlink_3148" Type="http://schemas.openxmlformats.org/officeDocument/2006/relationships/hyperlink" Target="https://optovikufa.ru/product/232812/kleschi-dlya-stopornyh-kolec-dlya-vnutrennih-pryamye-gubki-spark-lux-7-175mm-sl-555/" TargetMode="External"/><Relationship Id="rId_hyperlink_3149" Type="http://schemas.openxmlformats.org/officeDocument/2006/relationships/hyperlink" Target="https://optovikufa.ru/product/232815/kleschi-dlya-stopornyh-kolec-dlya-naruzhnih-izognutye-gubki-spark-lux-175mm/" TargetMode="External"/><Relationship Id="rId_hyperlink_3150" Type="http://schemas.openxmlformats.org/officeDocument/2006/relationships/hyperlink" Target="https://optovikufa.ru/product/232813/kleschi-dlya-stopornyh-kolec-dlya-naruzhnih-pryamye-gubki-spark-lux-7-175mm-sl-666/" TargetMode="External"/><Relationship Id="rId_hyperlink_3151" Type="http://schemas.openxmlformats.org/officeDocument/2006/relationships/hyperlink" Target="https://optovikufa.ru/product/222239/dlinnogubcy-tonkogubcy-stayer-160mm-2h-komp-rukoyatka/" TargetMode="External"/><Relationship Id="rId_hyperlink_3152" Type="http://schemas.openxmlformats.org/officeDocument/2006/relationships/hyperlink" Target="https://optovikufa.ru/product/228980/dlinnogubcy-tonkogubcy-x-pert-160mm-prorezininovaya-rukoyatka/" TargetMode="External"/><Relationship Id="rId_hyperlink_3153" Type="http://schemas.openxmlformats.org/officeDocument/2006/relationships/hyperlink" Target="https://optovikufa.ru/product/222281/dlinnogubcy-izognutye-160mm-airline-at-bnp-6/" TargetMode="External"/><Relationship Id="rId_hyperlink_3154" Type="http://schemas.openxmlformats.org/officeDocument/2006/relationships/hyperlink" Target="https://optovikufa.ru/product/226704/dlinnogubcy-izognutye-160mm-avs-a40188s/" TargetMode="External"/><Relationship Id="rId_hyperlink_3155" Type="http://schemas.openxmlformats.org/officeDocument/2006/relationships/hyperlink" Target="https://optovikufa.ru/product/226705/dlinnogubcy-izognutye-180mm-avs-a40189s/" TargetMode="External"/><Relationship Id="rId_hyperlink_3156" Type="http://schemas.openxmlformats.org/officeDocument/2006/relationships/hyperlink" Target="https://optovikufa.ru/product/226706/dlinnogubcy-izognutye-200mm-avs-a40190s/" TargetMode="External"/><Relationship Id="rId_hyperlink_3157" Type="http://schemas.openxmlformats.org/officeDocument/2006/relationships/hyperlink" Target="https://optovikufa.ru/product/222287/dlinnogubcy-pryamye-160mm-airline-at-lnp-6/" TargetMode="External"/><Relationship Id="rId_hyperlink_3158" Type="http://schemas.openxmlformats.org/officeDocument/2006/relationships/hyperlink" Target="https://optovikufa.ru/product/226707/dlinnogubcy-pryamye-160mm-avs-a40185s/" TargetMode="External"/><Relationship Id="rId_hyperlink_3159" Type="http://schemas.openxmlformats.org/officeDocument/2006/relationships/hyperlink" Target="https://optovikufa.ru/product/226708/dlinnogubcy-pryamye-180mm-avs-a40186s/" TargetMode="External"/><Relationship Id="rId_hyperlink_3160" Type="http://schemas.openxmlformats.org/officeDocument/2006/relationships/hyperlink" Target="https://optovikufa.ru/product/222295/dlinnogubcy-pryamye-200mm-airline-at-lnp-8/" TargetMode="External"/><Relationship Id="rId_hyperlink_3161" Type="http://schemas.openxmlformats.org/officeDocument/2006/relationships/hyperlink" Target="https://optovikufa.ru/product/226709/dlinnogubcy-pryamye-200mm-avs-a40187s/" TargetMode="External"/><Relationship Id="rId_hyperlink_3162" Type="http://schemas.openxmlformats.org/officeDocument/2006/relationships/hyperlink" Target="https://optovikufa.ru/product/241389/tonkogubcy-lit-6-krasno-chernaya-ruchka/" TargetMode="External"/><Relationship Id="rId_hyperlink_3163" Type="http://schemas.openxmlformats.org/officeDocument/2006/relationships/hyperlink" Target="https://optovikufa.ru/product/241390/tonkogubcy-lit-8-krasno-chernaya-ruchka/" TargetMode="External"/><Relationship Id="rId_hyperlink_3164" Type="http://schemas.openxmlformats.org/officeDocument/2006/relationships/hyperlink" Target="https://optovikufa.ru/product/238810/nabor-klyuchey-torx-zvezdochki-sib-lux-t-124-10-50mm-9-predmetov-sredniy/" TargetMode="External"/><Relationship Id="rId_hyperlink_3165" Type="http://schemas.openxmlformats.org/officeDocument/2006/relationships/hyperlink" Target="https://optovikufa.ru/product/241984/nabor-klyuchey-shestigrannyh-x-pert-15-10mm-9-predmetov-malyy/" TargetMode="External"/><Relationship Id="rId_hyperlink_3166" Type="http://schemas.openxmlformats.org/officeDocument/2006/relationships/hyperlink" Target="https://optovikufa.ru/product/241371/nabor-klyuchi-imbusovye-hex-10pr-lit/" TargetMode="External"/><Relationship Id="rId_hyperlink_3167" Type="http://schemas.openxmlformats.org/officeDocument/2006/relationships/hyperlink" Target="https://optovikufa.ru/product/236569/klyuch-gaechnyy-universalnyy-nakidnoy-8-22mm-x-pert/" TargetMode="External"/><Relationship Id="rId_hyperlink_3168" Type="http://schemas.openxmlformats.org/officeDocument/2006/relationships/hyperlink" Target="https://optovikufa.ru/product/239545/klyuch-kombinirovannyy-x-pert-rozhkovo-nakidnoy-14mm/" TargetMode="External"/><Relationship Id="rId_hyperlink_3169" Type="http://schemas.openxmlformats.org/officeDocument/2006/relationships/hyperlink" Target="https://optovikufa.ru/product/239546/klyuch-kombinirovannyy-x-pert-rozhkovo-nakidnoy-19mm/" TargetMode="External"/><Relationship Id="rId_hyperlink_3170" Type="http://schemas.openxmlformats.org/officeDocument/2006/relationships/hyperlink" Target="https://optovikufa.ru/product/239544/klyuch-kombinirovannyy-x-pert-rozhkovo-nakidnoy-8mm/" TargetMode="External"/><Relationship Id="rId_hyperlink_3171" Type="http://schemas.openxmlformats.org/officeDocument/2006/relationships/hyperlink" Target="https://optovikufa.ru/product/241369/klyuch-razvodnoy-lit-8200mm-c-obrezinennoy-ruchkoy/" TargetMode="External"/><Relationship Id="rId_hyperlink_3172" Type="http://schemas.openxmlformats.org/officeDocument/2006/relationships/hyperlink" Target="https://optovikufa.ru/product/231122/klyuch-razvodnoy-santehnicheskiy-2h-komp-rukoyatka-razmer-10-250mm-0-30mm-x-pert-xp-0629xp-0042/" TargetMode="External"/><Relationship Id="rId_hyperlink_3173" Type="http://schemas.openxmlformats.org/officeDocument/2006/relationships/hyperlink" Target="https://optovikufa.ru/product/232809/klyuch-razvodnoy-santehnicheskiy-2h-komp-rukoyatka-razmer-12-300mm-0-35mm-x-pert-xp-0629/" TargetMode="External"/><Relationship Id="rId_hyperlink_3174" Type="http://schemas.openxmlformats.org/officeDocument/2006/relationships/hyperlink" Target="https://optovikufa.ru/product/239543/klyuch-razvodnoy-santehnicheskiy-2h-komp-rukoyatka-razmer-6-150mm-0-15mm-x-pert-xp-0618/" TargetMode="External"/><Relationship Id="rId_hyperlink_3175" Type="http://schemas.openxmlformats.org/officeDocument/2006/relationships/hyperlink" Target="https://optovikufa.ru/product/231121/klyuch-razvodnoy-santehnicheskiy-2h-komp-rukoyatka-razmer-8-200mm-0-20mm-x-pert-xp-0619xp-5017/" TargetMode="External"/><Relationship Id="rId_hyperlink_3176" Type="http://schemas.openxmlformats.org/officeDocument/2006/relationships/hyperlink" Target="https://optovikufa.ru/product/238939/klyuch-treschotochnyy-6-lit-crv/" TargetMode="External"/><Relationship Id="rId_hyperlink_3177" Type="http://schemas.openxmlformats.org/officeDocument/2006/relationships/hyperlink" Target="https://optovikufa.ru/product/140547/nabor-klyuchey-gaechnyh-mnogofunkc-regulir-univers-2sht-blister-8-32/" TargetMode="External"/><Relationship Id="rId_hyperlink_3178" Type="http://schemas.openxmlformats.org/officeDocument/2006/relationships/hyperlink" Target="https://optovikufa.ru/product/239547/nabor-klyuchi-gaechnye-14-60mm-s-kryuchkom-x-pert-trubnyy/" TargetMode="External"/><Relationship Id="rId_hyperlink_3179" Type="http://schemas.openxmlformats.org/officeDocument/2006/relationships/hyperlink" Target="https://optovikufa.ru/product/233320/nabor-kombinirovannyh-klyuchey-8-19mm-8-predmetov-x-pert/" TargetMode="External"/><Relationship Id="rId_hyperlink_3180" Type="http://schemas.openxmlformats.org/officeDocument/2006/relationships/hyperlink" Target="https://optovikufa.ru/product/239832/klyuch-svechnoy-16mm-trubchatyy-l16sm-s-rezinovoy-vstavkoy-airline/" TargetMode="External"/><Relationship Id="rId_hyperlink_3181" Type="http://schemas.openxmlformats.org/officeDocument/2006/relationships/hyperlink" Target="https://optovikufa.ru/product/239847/klyuch-svechnoy-16mm-trubchatyy-l20sm-s-rezinovoy-vstavkoy/" TargetMode="External"/><Relationship Id="rId_hyperlink_3182" Type="http://schemas.openxmlformats.org/officeDocument/2006/relationships/hyperlink" Target="https://optovikufa.ru/product/239834/klyuch-svechnoy-21mm-trubchatyy-l16sm-s-rezinovoy-vstavkoy-airline/" TargetMode="External"/><Relationship Id="rId_hyperlink_3183" Type="http://schemas.openxmlformats.org/officeDocument/2006/relationships/hyperlink" Target="https://optovikufa.ru/product/239835/klyuch-svechnoy-21mm-trubchatyy-l23sm-s-rezinovoy-vstavkoy-airline/" TargetMode="External"/><Relationship Id="rId_hyperlink_3184" Type="http://schemas.openxmlformats.org/officeDocument/2006/relationships/hyperlink" Target="https://optovikufa.ru/product/226122/klyuch-trubchatyy-6h7mm-avs-a40120s/" TargetMode="External"/><Relationship Id="rId_hyperlink_3185" Type="http://schemas.openxmlformats.org/officeDocument/2006/relationships/hyperlink" Target="https://optovikufa.ru/product/233428/klyuch-treschotochnyy-2h-komp-rukoyatka-12-na-24-zuba-spark-lux-sl-10/" TargetMode="External"/><Relationship Id="rId_hyperlink_3186" Type="http://schemas.openxmlformats.org/officeDocument/2006/relationships/hyperlink" Target="https://optovikufa.ru/product/242334/klyuch-treschotochnyy-2h-komp-rukoyatka-14-na-24-zuba-spark-lux-sl-6/" TargetMode="External"/><Relationship Id="rId_hyperlink_3187" Type="http://schemas.openxmlformats.org/officeDocument/2006/relationships/hyperlink" Target="https://optovikufa.ru/product/226153/klyuch-treschotochnyy-2h-komp-rukoyatka-38-na-24-zuba-x-pert/" TargetMode="External"/><Relationship Id="rId_hyperlink_3188" Type="http://schemas.openxmlformats.org/officeDocument/2006/relationships/hyperlink" Target="https://optovikufa.ru/product/241374/nabor-treschetka-12-golovki-12-sht-10-22-lit/" TargetMode="External"/><Relationship Id="rId_hyperlink_3189" Type="http://schemas.openxmlformats.org/officeDocument/2006/relationships/hyperlink" Target="https://optovikufa.ru/product/241375/nabor-treschetka-38-golovki-12-sht-8-19-lit/" TargetMode="External"/><Relationship Id="rId_hyperlink_3190" Type="http://schemas.openxmlformats.org/officeDocument/2006/relationships/hyperlink" Target="https://optovikufa.ru/product/242461/klyuchi-gaechnye-kombinirovannye-8pr-lit/" TargetMode="External"/><Relationship Id="rId_hyperlink_3191" Type="http://schemas.openxmlformats.org/officeDocument/2006/relationships/hyperlink" Target="https://optovikufa.ru/product/242468/nabor-golovok-25pr-plast-keys-decko/" TargetMode="External"/><Relationship Id="rId_hyperlink_3192" Type="http://schemas.openxmlformats.org/officeDocument/2006/relationships/hyperlink" Target="https://optovikufa.ru/product/238942/nabor-golovok-40pr-plast-keys-zhongxin/" TargetMode="External"/><Relationship Id="rId_hyperlink_3193" Type="http://schemas.openxmlformats.org/officeDocument/2006/relationships/hyperlink" Target="https://optovikufa.ru/product/241372/nabor-golovok-i-bit-25pr-plast-keys-zhongxin/" TargetMode="External"/><Relationship Id="rId_hyperlink_3194" Type="http://schemas.openxmlformats.org/officeDocument/2006/relationships/hyperlink" Target="https://optovikufa.ru/product/241373/nabor-golovok-i-bit-52pr-plast-keys-zhongxin/" TargetMode="External"/><Relationship Id="rId_hyperlink_3195" Type="http://schemas.openxmlformats.org/officeDocument/2006/relationships/hyperlink" Target="https://optovikufa.ru/product/242326/nabor-golovok-i-bit-x-pert-s-reversivnoy-otvertkoy-xp-90061/" TargetMode="External"/><Relationship Id="rId_hyperlink_3196" Type="http://schemas.openxmlformats.org/officeDocument/2006/relationships/hyperlink" Target="https://optovikufa.ru/product/241291/nabor-golovok-i-bit-x-pert-s-treschotochnym-klyuchom-xp-90038/" TargetMode="External"/><Relationship Id="rId_hyperlink_3197" Type="http://schemas.openxmlformats.org/officeDocument/2006/relationships/hyperlink" Target="https://optovikufa.ru/product/228986/nabor-golovok-i-bit-s-klyuchom-treschetkoy-xs-008-c/" TargetMode="External"/><Relationship Id="rId_hyperlink_3198" Type="http://schemas.openxmlformats.org/officeDocument/2006/relationships/hyperlink" Target="https://optovikufa.ru/product/137703/nabor-instrumentov-aiwa-treschetka-38-golovok-otvertka-v-keyse-48320/" TargetMode="External"/><Relationship Id="rId_hyperlink_3199" Type="http://schemas.openxmlformats.org/officeDocument/2006/relationships/hyperlink" Target="https://optovikufa.ru/product/241795/nabor-instrumentov-gq421-32in1/" TargetMode="External"/><Relationship Id="rId_hyperlink_3200" Type="http://schemas.openxmlformats.org/officeDocument/2006/relationships/hyperlink" Target="https://optovikufa.ru/product/241796/nabor-instrumentov-gq434-24in1/" TargetMode="External"/><Relationship Id="rId_hyperlink_3201" Type="http://schemas.openxmlformats.org/officeDocument/2006/relationships/hyperlink" Target="https://optovikufa.ru/product/241797/nabor-instrumentov-xs-008e/" TargetMode="External"/><Relationship Id="rId_hyperlink_3202" Type="http://schemas.openxmlformats.org/officeDocument/2006/relationships/hyperlink" Target="https://optovikufa.ru/product/241798/nabor-instrumentov-xs-008f/" TargetMode="External"/><Relationship Id="rId_hyperlink_3203" Type="http://schemas.openxmlformats.org/officeDocument/2006/relationships/hyperlink" Target="https://optovikufa.ru/product/239651/nabor-klyuchi-lit-trubchatye-6-22mm-10-predmetov/" TargetMode="External"/><Relationship Id="rId_hyperlink_3204" Type="http://schemas.openxmlformats.org/officeDocument/2006/relationships/hyperlink" Target="https://optovikufa.ru/product/242333/nabor-udliniteley-dlya-torcevyh-golovok-vorotok-12-3-predm-x-pert-xp-21384/" TargetMode="External"/><Relationship Id="rId_hyperlink_3205" Type="http://schemas.openxmlformats.org/officeDocument/2006/relationships/hyperlink" Target="https://optovikufa.ru/product/242332/nabor-udliniteley-dlya-torcevyh-golovok-g-obrvorotok-12-3-predm-x-pert-xp-21385/" TargetMode="External"/><Relationship Id="rId_hyperlink_3206" Type="http://schemas.openxmlformats.org/officeDocument/2006/relationships/hyperlink" Target="https://optovikufa.ru/product/241652/nabot-instrumentov-pt-ino14/" TargetMode="External"/><Relationship Id="rId_hyperlink_3207" Type="http://schemas.openxmlformats.org/officeDocument/2006/relationships/hyperlink" Target="https://optovikufa.ru/product/238642/bita-ph2-h-50mm-kovanye-torsionnye-2sht-lit-cena-za-1sht/" TargetMode="External"/><Relationship Id="rId_hyperlink_3208" Type="http://schemas.openxmlformats.org/officeDocument/2006/relationships/hyperlink" Target="https://optovikufa.ru/product/238641/bita-ph2-h-70mm-kovanye-torsionnye-2sht-lit-cena-za-1sht/" TargetMode="External"/><Relationship Id="rId_hyperlink_3209" Type="http://schemas.openxmlformats.org/officeDocument/2006/relationships/hyperlink" Target="https://optovikufa.ru/product/238649/bita-ph2-h-90mm-kovanye-torsionnye-2sht-lit-cena-za-1sht/" TargetMode="External"/><Relationship Id="rId_hyperlink_3210" Type="http://schemas.openxmlformats.org/officeDocument/2006/relationships/hyperlink" Target="https://optovikufa.ru/product/239949/bita-dvustoronnyaya-ph2-h-150mm-lit-cena-za-1sht/" TargetMode="External"/><Relationship Id="rId_hyperlink_3211" Type="http://schemas.openxmlformats.org/officeDocument/2006/relationships/hyperlink" Target="https://optovikufa.ru/product/242538/bita-dvustoronnyaya-ph2-h-65mm-lit2-sht-cena-za-1sht/" TargetMode="External"/><Relationship Id="rId_hyperlink_3212" Type="http://schemas.openxmlformats.org/officeDocument/2006/relationships/hyperlink" Target="https://optovikufa.ru/product/237908/nabor-torcevyh-bit-adapter-magnit-dlya-krovel-samorezov-8x45mm-bl10/" TargetMode="External"/><Relationship Id="rId_hyperlink_3213" Type="http://schemas.openxmlformats.org/officeDocument/2006/relationships/hyperlink" Target="https://optovikufa.ru/product/238685/nabor-torcevyh-bit-adapter-magnit-dlya-krovel-samorezov-8x65mm-bl5/" TargetMode="External"/><Relationship Id="rId_hyperlink_3214" Type="http://schemas.openxmlformats.org/officeDocument/2006/relationships/hyperlink" Target="https://optovikufa.ru/product/242310/otvertka-torx-t10x100mm/" TargetMode="External"/><Relationship Id="rId_hyperlink_3215" Type="http://schemas.openxmlformats.org/officeDocument/2006/relationships/hyperlink" Target="https://optovikufa.ru/product/242311/otvertka-torx-t15x100mm/" TargetMode="External"/><Relationship Id="rId_hyperlink_3216" Type="http://schemas.openxmlformats.org/officeDocument/2006/relationships/hyperlink" Target="https://optovikufa.ru/product/242312/otvertka-torx-t25x100mm/" TargetMode="External"/><Relationship Id="rId_hyperlink_3217" Type="http://schemas.openxmlformats.org/officeDocument/2006/relationships/hyperlink" Target="https://optovikufa.ru/product/242313/otvertka-torx-t27x100mm/" TargetMode="External"/><Relationship Id="rId_hyperlink_3218" Type="http://schemas.openxmlformats.org/officeDocument/2006/relationships/hyperlink" Target="https://optovikufa.ru/product/242314/otvertka-torx-t40x125mm/" TargetMode="External"/><Relationship Id="rId_hyperlink_3219" Type="http://schemas.openxmlformats.org/officeDocument/2006/relationships/hyperlink" Target="https://optovikufa.ru/product/242307/otvertka-torx-t7x75mm/" TargetMode="External"/><Relationship Id="rId_hyperlink_3220" Type="http://schemas.openxmlformats.org/officeDocument/2006/relationships/hyperlink" Target="https://optovikufa.ru/product/242308/otvertka-torx-t8x75mm/" TargetMode="External"/><Relationship Id="rId_hyperlink_3221" Type="http://schemas.openxmlformats.org/officeDocument/2006/relationships/hyperlink" Target="https://optovikufa.ru/product/242309/otvertka-torx-t9x75mm/" TargetMode="External"/><Relationship Id="rId_hyperlink_3222" Type="http://schemas.openxmlformats.org/officeDocument/2006/relationships/hyperlink" Target="https://optovikufa.ru/product/227660/otvertka-dvuhstoronnyaya-x-pert-amerika-6210mm-2-hkomprukoyatka-a-4/" TargetMode="External"/><Relationship Id="rId_hyperlink_3223" Type="http://schemas.openxmlformats.org/officeDocument/2006/relationships/hyperlink" Target="https://optovikufa.ru/product/176761/otvertka-dvuhstoronnyaya-34x55mm-master-46025/" TargetMode="External"/><Relationship Id="rId_hyperlink_3224" Type="http://schemas.openxmlformats.org/officeDocument/2006/relationships/hyperlink" Target="https://optovikufa.ru/product/122900/otvertka-dvuhstoronnyaya-46x60mm-master-46026/" TargetMode="External"/><Relationship Id="rId_hyperlink_3225" Type="http://schemas.openxmlformats.org/officeDocument/2006/relationships/hyperlink" Target="https://optovikufa.ru/product/236566/otvertka-dvuhstoronnyaya-spark-lux-6150mm-2-hkomprukoyatka-a-8/" TargetMode="External"/><Relationship Id="rId_hyperlink_3226" Type="http://schemas.openxmlformats.org/officeDocument/2006/relationships/hyperlink" Target="https://optovikufa.ru/product/240333/otvertka-dvuhstoronnyaya-spark-lux-dvustoronnyaya-amerika-6240mm-a-5/" TargetMode="External"/><Relationship Id="rId_hyperlink_3227" Type="http://schemas.openxmlformats.org/officeDocument/2006/relationships/hyperlink" Target="https://optovikufa.ru/product/222230/otvertka-dvuhstoronnyaya-yuete-tools-phsl5x150mm-magnitnaya/" TargetMode="External"/><Relationship Id="rId_hyperlink_3228" Type="http://schemas.openxmlformats.org/officeDocument/2006/relationships/hyperlink" Target="https://optovikufa.ru/product/227668/otvertka-teleskopicheskaya-x-pert-dvuhstoronnyaya-t-obraznaya-2-hkomprukoyatka-b-2/" TargetMode="External"/><Relationship Id="rId_hyperlink_3229" Type="http://schemas.openxmlformats.org/officeDocument/2006/relationships/hyperlink" Target="https://optovikufa.ru/product/240331/otvertka-teleskopicheskaya-x-pert-dvuhstoronnyaya-t-obraznaya-2-hkomprukoyatka-s-treschetkoy-b-1/" TargetMode="External"/><Relationship Id="rId_hyperlink_3230" Type="http://schemas.openxmlformats.org/officeDocument/2006/relationships/hyperlink" Target="https://optovikufa.ru/product/230008/otvertka-krestovaya-dielektricheskaya-1000v-ph0x60-smartbuy-sbt-sci-ph0x60p1/" TargetMode="External"/><Relationship Id="rId_hyperlink_3231" Type="http://schemas.openxmlformats.org/officeDocument/2006/relationships/hyperlink" Target="https://optovikufa.ru/product/230010/otvertka-krestovaya-dielektricheskaya-1000v-ph1x150-smartbuy-sbt-sci-ph1x150p1/" TargetMode="External"/><Relationship Id="rId_hyperlink_3232" Type="http://schemas.openxmlformats.org/officeDocument/2006/relationships/hyperlink" Target="https://optovikufa.ru/product/228032/otvertka-krestovaya-dielektricheskaya-1000v-ph1h80-smartbuy-sbt-sci-ph1x80p1/" TargetMode="External"/><Relationship Id="rId_hyperlink_3233" Type="http://schemas.openxmlformats.org/officeDocument/2006/relationships/hyperlink" Target="https://optovikufa.ru/product/228020/otvertka-krestovaya-dielektricheskaya-1000v-ph2h100-smartbuy-sbt-sci-ph2x100p1/" TargetMode="External"/><Relationship Id="rId_hyperlink_3234" Type="http://schemas.openxmlformats.org/officeDocument/2006/relationships/hyperlink" Target="https://optovikufa.ru/product/228021/otvertka-krestovaya-dielektricheskaya-1000v-ph2h175-smartbuy-sbt-sci-ph2x175p1/" TargetMode="External"/><Relationship Id="rId_hyperlink_3235" Type="http://schemas.openxmlformats.org/officeDocument/2006/relationships/hyperlink" Target="https://optovikufa.ru/product/228022/otvertka-shlicevaya-dielektricheskaya-1000v-sl25h75-smartbuy-sbt-sci-sl25x75p1/" TargetMode="External"/><Relationship Id="rId_hyperlink_3236" Type="http://schemas.openxmlformats.org/officeDocument/2006/relationships/hyperlink" Target="https://optovikufa.ru/product/144219/otvertka-shlicevaya-dielektricheskaya-1000v-sl4x100mm-smartbuy-sbt-sci-sl4x100p1/" TargetMode="External"/><Relationship Id="rId_hyperlink_3237" Type="http://schemas.openxmlformats.org/officeDocument/2006/relationships/hyperlink" Target="https://optovikufa.ru/product/228024/otvertka-shlicevaya-dielektricheskaya-1000v-sl65h150-smartbuy-sbt-sci-sl65x150p1/" TargetMode="External"/><Relationship Id="rId_hyperlink_3238" Type="http://schemas.openxmlformats.org/officeDocument/2006/relationships/hyperlink" Target="https://optovikufa.ru/product/226747/otvertka-krestovaya-ph0x75mm-avs-a40069s/" TargetMode="External"/><Relationship Id="rId_hyperlink_3239" Type="http://schemas.openxmlformats.org/officeDocument/2006/relationships/hyperlink" Target="https://optovikufa.ru/product/226726/otvertka-krestovaya-ph1x100mm-avs-a40072s/" TargetMode="External"/><Relationship Id="rId_hyperlink_3240" Type="http://schemas.openxmlformats.org/officeDocument/2006/relationships/hyperlink" Target="https://optovikufa.ru/product/226725/otvertka-krestovaya-ph1x75mm-avs-a40071s/" TargetMode="External"/><Relationship Id="rId_hyperlink_3241" Type="http://schemas.openxmlformats.org/officeDocument/2006/relationships/hyperlink" Target="https://optovikufa.ru/product/240826/otvertka-krestovaya-ph2-h150mm-udarnaya-avs/" TargetMode="External"/><Relationship Id="rId_hyperlink_3242" Type="http://schemas.openxmlformats.org/officeDocument/2006/relationships/hyperlink" Target="https://optovikufa.ru/product/226728/otvertka-krestovaya-ph2x100mm-avs-a40074s/" TargetMode="External"/><Relationship Id="rId_hyperlink_3243" Type="http://schemas.openxmlformats.org/officeDocument/2006/relationships/hyperlink" Target="https://optovikufa.ru/product/226729/otvertka-krestovaya-ph2x125mm-avs-a40075s/" TargetMode="External"/><Relationship Id="rId_hyperlink_3244" Type="http://schemas.openxmlformats.org/officeDocument/2006/relationships/hyperlink" Target="https://optovikufa.ru/product/226730/otvertka-krestovaya-ph2x150mm-avs-a40076s/" TargetMode="External"/><Relationship Id="rId_hyperlink_3245" Type="http://schemas.openxmlformats.org/officeDocument/2006/relationships/hyperlink" Target="https://optovikufa.ru/product/226731/otvertka-krestovaya-ph2x200mm-avs-a40077s/" TargetMode="External"/><Relationship Id="rId_hyperlink_3246" Type="http://schemas.openxmlformats.org/officeDocument/2006/relationships/hyperlink" Target="https://optovikufa.ru/product/226727/otvertka-krestovaya-ph2x38mm-avs-a40073s/" TargetMode="External"/><Relationship Id="rId_hyperlink_3247" Type="http://schemas.openxmlformats.org/officeDocument/2006/relationships/hyperlink" Target="https://optovikufa.ru/product/226732/otvertka-krestovaya-ph3x150mm-avs-a40078s/" TargetMode="External"/><Relationship Id="rId_hyperlink_3248" Type="http://schemas.openxmlformats.org/officeDocument/2006/relationships/hyperlink" Target="https://optovikufa.ru/product/240827/otvertka-krestovaya-pz0-x-75mm-avs/" TargetMode="External"/><Relationship Id="rId_hyperlink_3249" Type="http://schemas.openxmlformats.org/officeDocument/2006/relationships/hyperlink" Target="https://optovikufa.ru/product/240829/otvertka-krestovaya-pz2-x-100mm-avs/" TargetMode="External"/><Relationship Id="rId_hyperlink_3250" Type="http://schemas.openxmlformats.org/officeDocument/2006/relationships/hyperlink" Target="https://optovikufa.ru/product/240830/otvertka-krestovaya-pz3-x-150mm-avs/" TargetMode="External"/><Relationship Id="rId_hyperlink_3251" Type="http://schemas.openxmlformats.org/officeDocument/2006/relationships/hyperlink" Target="https://optovikufa.ru/product/221267/otvertka-krestovaya-smartbuy-tools-ph1x150-2h-komponentnaya-rukoyatka-cr-v-magnit/" TargetMode="External"/><Relationship Id="rId_hyperlink_3252" Type="http://schemas.openxmlformats.org/officeDocument/2006/relationships/hyperlink" Target="https://optovikufa.ru/product/221273/otvertka-krestovaya-smartbuy-tools-ph2x150-2h-komponentnaya-rukoyatka-cr-v-magnit/" TargetMode="External"/><Relationship Id="rId_hyperlink_3253" Type="http://schemas.openxmlformats.org/officeDocument/2006/relationships/hyperlink" Target="https://optovikufa.ru/product/226734/otvertka-shlicevaya-sl3x100mm-avs-a40080s/" TargetMode="External"/><Relationship Id="rId_hyperlink_3254" Type="http://schemas.openxmlformats.org/officeDocument/2006/relationships/hyperlink" Target="https://optovikufa.ru/product/226735/otvertka-shlicevaya-sl3x150mm-avs-a40081s/" TargetMode="External"/><Relationship Id="rId_hyperlink_3255" Type="http://schemas.openxmlformats.org/officeDocument/2006/relationships/hyperlink" Target="https://optovikufa.ru/product/226733/otvertka-shlicevaya-sl3x75mm-avs-a40079s/" TargetMode="External"/><Relationship Id="rId_hyperlink_3256" Type="http://schemas.openxmlformats.org/officeDocument/2006/relationships/hyperlink" Target="https://optovikufa.ru/product/226736/otvertka-shlicevaya-sl4x100mm-avs-a40082s/" TargetMode="External"/><Relationship Id="rId_hyperlink_3257" Type="http://schemas.openxmlformats.org/officeDocument/2006/relationships/hyperlink" Target="https://optovikufa.ru/product/230014/otvertka-shlicevaya-sl4x75-2h-komponentnaya-rukoyatka-cr-v-magnit-smartbuy-tools/" TargetMode="External"/><Relationship Id="rId_hyperlink_3258" Type="http://schemas.openxmlformats.org/officeDocument/2006/relationships/hyperlink" Target="https://optovikufa.ru/product/230015/otvertka-shlicevaya-sl5x100-2h-komponentnaya-rukoyatka-cr-v-magnit-smartbuy-tools/" TargetMode="External"/><Relationship Id="rId_hyperlink_3259" Type="http://schemas.openxmlformats.org/officeDocument/2006/relationships/hyperlink" Target="https://optovikufa.ru/product/226739/otvertka-shlicevaya-sl5x100mm-avs-a40085s/" TargetMode="External"/><Relationship Id="rId_hyperlink_3260" Type="http://schemas.openxmlformats.org/officeDocument/2006/relationships/hyperlink" Target="https://optovikufa.ru/product/230016/otvertka-shlicevaya-sl5x150-2h-komponentnaya-rukoyatka-cr-v-magnit-smartbuy-tools/" TargetMode="External"/><Relationship Id="rId_hyperlink_3261" Type="http://schemas.openxmlformats.org/officeDocument/2006/relationships/hyperlink" Target="https://optovikufa.ru/product/226740/otvertka-shlicevaya-sl5x150mm-avs-a40086s/" TargetMode="External"/><Relationship Id="rId_hyperlink_3262" Type="http://schemas.openxmlformats.org/officeDocument/2006/relationships/hyperlink" Target="https://optovikufa.ru/product/226737/otvertka-shlicevaya-sl5x38mm-avs-a40083s/" TargetMode="External"/><Relationship Id="rId_hyperlink_3263" Type="http://schemas.openxmlformats.org/officeDocument/2006/relationships/hyperlink" Target="https://optovikufa.ru/product/239463/otvertka-shlicevaya-sl5x75-2h-komponentnaya-rukoyatka-cr-v-magnit-smartbuy-tools/" TargetMode="External"/><Relationship Id="rId_hyperlink_3264" Type="http://schemas.openxmlformats.org/officeDocument/2006/relationships/hyperlink" Target="https://optovikufa.ru/product/226738/otvertka-shlicevaya-sl5x75mm-avs-a40084s/" TargetMode="External"/><Relationship Id="rId_hyperlink_3265" Type="http://schemas.openxmlformats.org/officeDocument/2006/relationships/hyperlink" Target="https://optovikufa.ru/product/230017/otvertka-shlicevaya-sl6x100-2h-komponentnaya-rukoyatka-cr-v-magnit-smartbuy-tools/" TargetMode="External"/><Relationship Id="rId_hyperlink_3266" Type="http://schemas.openxmlformats.org/officeDocument/2006/relationships/hyperlink" Target="https://optovikufa.ru/product/226741/otvertka-shlicevaya-sl6x100mm-avs-a40087s/" TargetMode="External"/><Relationship Id="rId_hyperlink_3267" Type="http://schemas.openxmlformats.org/officeDocument/2006/relationships/hyperlink" Target="https://optovikufa.ru/product/221269/otvertka-shlicevaya-sl6x150-2h-komponentnaya-rukoyatka-cr-v-magnit-smartbuy-tools/" TargetMode="External"/><Relationship Id="rId_hyperlink_3268" Type="http://schemas.openxmlformats.org/officeDocument/2006/relationships/hyperlink" Target="https://optovikufa.ru/product/226742/otvertka-shlicevaya-sl6x150mm-avs-a40088s/" TargetMode="External"/><Relationship Id="rId_hyperlink_3269" Type="http://schemas.openxmlformats.org/officeDocument/2006/relationships/hyperlink" Target="https://optovikufa.ru/product/226743/otvertka-shlicevaya-sl8x200mm-avs-a40089s/" TargetMode="External"/><Relationship Id="rId_hyperlink_3270" Type="http://schemas.openxmlformats.org/officeDocument/2006/relationships/hyperlink" Target="https://optovikufa.ru/product/234326/otvertka-dlya-telefona-jm-8147/" TargetMode="External"/><Relationship Id="rId_hyperlink_3271" Type="http://schemas.openxmlformats.org/officeDocument/2006/relationships/hyperlink" Target="https://optovikufa.ru/product/234327/otvertka-dlya-tochnyh-rabot/" TargetMode="External"/><Relationship Id="rId_hyperlink_3272" Type="http://schemas.openxmlformats.org/officeDocument/2006/relationships/hyperlink" Target="https://optovikufa.ru/product/236362/otvertka-3v1-karmannaya-v-vide-avtoruchki-jm-8155/" TargetMode="External"/><Relationship Id="rId_hyperlink_3273" Type="http://schemas.openxmlformats.org/officeDocument/2006/relationships/hyperlink" Target="https://optovikufa.ru/product/127598/otvertka-reversivnaya-s-naborom-bit-i-golovok-cq-434/" TargetMode="External"/><Relationship Id="rId_hyperlink_3274" Type="http://schemas.openxmlformats.org/officeDocument/2006/relationships/hyperlink" Target="https://optovikufa.ru/product/225949/otvertka-s-naborom-bit-yx-8015/" TargetMode="External"/><Relationship Id="rId_hyperlink_3275" Type="http://schemas.openxmlformats.org/officeDocument/2006/relationships/hyperlink" Target="https://optovikufa.ru/product/130791/otvertka-s-naborom-bit-yx-8018-15pr/" TargetMode="External"/><Relationship Id="rId_hyperlink_3276" Type="http://schemas.openxmlformats.org/officeDocument/2006/relationships/hyperlink" Target="https://optovikufa.ru/product/242462/otvertka-s-naborom-bit-i-golovok-30pr-lit/" TargetMode="External"/><Relationship Id="rId_hyperlink_3277" Type="http://schemas.openxmlformats.org/officeDocument/2006/relationships/hyperlink" Target="https://optovikufa.ru/product/169948/otvertka-s-naborom-bit-i-golovok-cq-369/" TargetMode="External"/><Relationship Id="rId_hyperlink_3278" Type="http://schemas.openxmlformats.org/officeDocument/2006/relationships/hyperlink" Target="https://optovikufa.ru/product/130790/otvertka-s-naborom-bit-i-golovok-yx-8017d/" TargetMode="External"/><Relationship Id="rId_hyperlink_3279" Type="http://schemas.openxmlformats.org/officeDocument/2006/relationships/hyperlink" Target="https://optovikufa.ru/product/240332/otvertka-udarnaya-spark-lux-dvustoronnyaya-6210mm-2-hkomprukoyatka-a-007/" TargetMode="External"/><Relationship Id="rId_hyperlink_3280" Type="http://schemas.openxmlformats.org/officeDocument/2006/relationships/hyperlink" Target="https://optovikufa.ru/product/191650/skoby-dlya-steplera-tip-53-10-1000sht-lit-46680/" TargetMode="External"/><Relationship Id="rId_hyperlink_3281" Type="http://schemas.openxmlformats.org/officeDocument/2006/relationships/hyperlink" Target="https://optovikufa.ru/product/191649/skoby-dlya-steplera-tip-53-6-1000sht-lit-46678/" TargetMode="External"/><Relationship Id="rId_hyperlink_3282" Type="http://schemas.openxmlformats.org/officeDocument/2006/relationships/hyperlink" Target="https://optovikufa.ru/product/191651/skoby-dlya-steplera-tip-53-8-1000sht-lit-46679/" TargetMode="External"/><Relationship Id="rId_hyperlink_3283" Type="http://schemas.openxmlformats.org/officeDocument/2006/relationships/hyperlink" Target="https://optovikufa.ru/product/230423/fonar-lazernaya-ukazkaschup-teleskopicheskiy-s-magnitom/" TargetMode="External"/><Relationship Id="rId_hyperlink_3284" Type="http://schemas.openxmlformats.org/officeDocument/2006/relationships/hyperlink" Target="https://optovikufa.ru/product/238093/strubcina-avtomaticheskaya-f-obraznaya-150mm-lit/" TargetMode="External"/><Relationship Id="rId_hyperlink_3285" Type="http://schemas.openxmlformats.org/officeDocument/2006/relationships/hyperlink" Target="https://optovikufa.ru/product/238094/strubcina-avtomaticheskaya-f-obraznaya-200mm-lit/" TargetMode="External"/><Relationship Id="rId_hyperlink_3286" Type="http://schemas.openxmlformats.org/officeDocument/2006/relationships/hyperlink" Target="https://optovikufa.ru/product/238095/strubcina-avtomaticheskaya-f-obraznaya-250mm-lit/" TargetMode="External"/><Relationship Id="rId_hyperlink_3287" Type="http://schemas.openxmlformats.org/officeDocument/2006/relationships/hyperlink" Target="https://optovikufa.ru/product/238096/strubcina-avtomaticheskaya-f-obraznaya-300mm-lit/" TargetMode="External"/><Relationship Id="rId_hyperlink_3288" Type="http://schemas.openxmlformats.org/officeDocument/2006/relationships/hyperlink" Target="https://optovikufa.ru/product/238098/strubcina-avtomaticheskaya-f-obraznaya-600mm-lit/" TargetMode="External"/><Relationship Id="rId_hyperlink_3289" Type="http://schemas.openxmlformats.org/officeDocument/2006/relationships/hyperlink" Target="https://optovikufa.ru/product/239520/strubcina-metallicheskaya-x-pert-3-tip-g/" TargetMode="External"/><Relationship Id="rId_hyperlink_3290" Type="http://schemas.openxmlformats.org/officeDocument/2006/relationships/hyperlink" Target="https://optovikufa.ru/product/239522/strubcina-metallicheskaya-x-pert-6-tip-g/" TargetMode="External"/><Relationship Id="rId_hyperlink_3291" Type="http://schemas.openxmlformats.org/officeDocument/2006/relationships/hyperlink" Target="https://optovikufa.ru/product/239517/strubcina-metallicheskaya-tip-f-120400mm-x-pert/" TargetMode="External"/><Relationship Id="rId_hyperlink_3292" Type="http://schemas.openxmlformats.org/officeDocument/2006/relationships/hyperlink" Target="https://optovikufa.ru/product/239518/strubcina-metallicheskaya-tip-f-120600mm-x-pert/" TargetMode="External"/><Relationship Id="rId_hyperlink_3293" Type="http://schemas.openxmlformats.org/officeDocument/2006/relationships/hyperlink" Target="https://optovikufa.ru/product/239519/strubcina-metallicheskaya-tip-f-120800mm-x-pert/" TargetMode="External"/><Relationship Id="rId_hyperlink_3294" Type="http://schemas.openxmlformats.org/officeDocument/2006/relationships/hyperlink" Target="https://optovikufa.ru/product/241392/strubcina-metallicheskaya-tip-f-50150mm-lit/" TargetMode="External"/><Relationship Id="rId_hyperlink_3295" Type="http://schemas.openxmlformats.org/officeDocument/2006/relationships/hyperlink" Target="https://optovikufa.ru/product/239523/strubcina-metallicheskaya-tip-f-80400mm-spark-lux/" TargetMode="External"/><Relationship Id="rId_hyperlink_3296" Type="http://schemas.openxmlformats.org/officeDocument/2006/relationships/hyperlink" Target="https://optovikufa.ru/product/234020/strubcina-metallicheskaya-tip-f-80500mm-spark-lux/" TargetMode="External"/><Relationship Id="rId_hyperlink_3297" Type="http://schemas.openxmlformats.org/officeDocument/2006/relationships/hyperlink" Target="https://optovikufa.ru/product/234021/strubcina-metallicheskaya-tip-f-80600mm-spark-lux/" TargetMode="External"/><Relationship Id="rId_hyperlink_3298" Type="http://schemas.openxmlformats.org/officeDocument/2006/relationships/hyperlink" Target="https://optovikufa.ru/product/235871/tiski-nastolnye-mini-40mm-zahvat-do-30mm-smartbuy-sbt-tm-40p1/" TargetMode="External"/><Relationship Id="rId_hyperlink_3299" Type="http://schemas.openxmlformats.org/officeDocument/2006/relationships/hyperlink" Target="https://optovikufa.ru/product/240337/molotok-slesarnyy-s-derevyannoy-ruchkoy-500g-x-pert/" TargetMode="External"/><Relationship Id="rId_hyperlink_3300" Type="http://schemas.openxmlformats.org/officeDocument/2006/relationships/hyperlink" Target="https://optovikufa.ru/product/241393/molotok-slesarnyy-s-plastikovoy-ruchkoy-1000g-lit/" TargetMode="External"/><Relationship Id="rId_hyperlink_3301" Type="http://schemas.openxmlformats.org/officeDocument/2006/relationships/hyperlink" Target="https://optovikufa.ru/product/241394/molotok-slesarnyy-s-plastikovoy-ruchkoy-300g-lit/" TargetMode="External"/><Relationship Id="rId_hyperlink_3302" Type="http://schemas.openxmlformats.org/officeDocument/2006/relationships/hyperlink" Target="https://optovikufa.ru/product/242474/molotok-slesarnyy-s-plastikovoy-ruchkoy-500g-lit/" TargetMode="External"/><Relationship Id="rId_hyperlink_3303" Type="http://schemas.openxmlformats.org/officeDocument/2006/relationships/hyperlink" Target="https://optovikufa.ru/product/242475/molotok-slesarnyy-s-plastikovoy-ruchkoy-800g-lit/" TargetMode="External"/><Relationship Id="rId_hyperlink_3304" Type="http://schemas.openxmlformats.org/officeDocument/2006/relationships/hyperlink" Target="https://optovikufa.ru/product/149177/derzhatel-tretya-ruka-s-lupoy-jm-501-ot-inl01/" TargetMode="External"/><Relationship Id="rId_hyperlink_3305" Type="http://schemas.openxmlformats.org/officeDocument/2006/relationships/hyperlink" Target="https://optovikufa.ru/product/149264/derzhatel-tretya-ruka-s-lupoy-mg-16129-c-ot-inl46-odium-2-zazhimapodsvetka-led-pitanie-220-ili3-6lrderzhatel-25x-d9075x-d3410x-d34/" TargetMode="External"/><Relationship Id="rId_hyperlink_3306" Type="http://schemas.openxmlformats.org/officeDocument/2006/relationships/hyperlink" Target="https://optovikufa.ru/product/149263/derzhatel-tretya-ruka-s-lupoy-mg-ot-inl45-podium-2-zazhimapodsvetka-led-pitanie2-3lrderzhatel-dlya-payalnika-2x-d906x-d21/" TargetMode="External"/><Relationship Id="rId_hyperlink_3307" Type="http://schemas.openxmlformats.org/officeDocument/2006/relationships/hyperlink" Target="https://optovikufa.ru/product/223975/derzhatel-tretya-ruka-s-lupoy-ot-inl44/" TargetMode="External"/><Relationship Id="rId_hyperlink_3308" Type="http://schemas.openxmlformats.org/officeDocument/2006/relationships/hyperlink" Target="https://optovikufa.ru/product/223905/derzhatel-tretya-ruka-s-lupoy-ot-inl47/" TargetMode="External"/><Relationship Id="rId_hyperlink_3309" Type="http://schemas.openxmlformats.org/officeDocument/2006/relationships/hyperlink" Target="https://optovikufa.ru/product/230761/derzhatel-pechatnyh-plat-jm-z15/" TargetMode="External"/><Relationship Id="rId_hyperlink_3310" Type="http://schemas.openxmlformats.org/officeDocument/2006/relationships/hyperlink" Target="https://optovikufa.ru/product/229010/derzhatel-plat-tretya-ruka-pm-inp19/" TargetMode="External"/><Relationship Id="rId_hyperlink_3311" Type="http://schemas.openxmlformats.org/officeDocument/2006/relationships/hyperlink" Target="https://optovikufa.ru/product/229012/derzhatel-plat-tretya-ruka-pm-inp21/" TargetMode="External"/><Relationship Id="rId_hyperlink_3312" Type="http://schemas.openxmlformats.org/officeDocument/2006/relationships/hyperlink" Target="https://optovikufa.ru/product/240460/instrument-dlya-zachistki-kabelya-060-26mm-bs442206/" TargetMode="External"/><Relationship Id="rId_hyperlink_3313" Type="http://schemas.openxmlformats.org/officeDocument/2006/relationships/hyperlink" Target="https://optovikufa.ru/product/236430/instrument-dlya-snyatiya-izolyacii-obzhim-klemm-pt-ink08/" TargetMode="External"/><Relationship Id="rId_hyperlink_3314" Type="http://schemas.openxmlformats.org/officeDocument/2006/relationships/hyperlink" Target="https://optovikufa.ru/product/236350/instrument-dlya-snyatiya-izolyacii-obzhim-klemm-obrezka-vintov-pt-ink07/" TargetMode="External"/><Relationship Id="rId_hyperlink_3315" Type="http://schemas.openxmlformats.org/officeDocument/2006/relationships/hyperlink" Target="https://optovikufa.ru/product/236424/instrument-dlya-snyatiya-izolyacii-obrezka-kabelya-pt-ink01/" TargetMode="External"/><Relationship Id="rId_hyperlink_3316" Type="http://schemas.openxmlformats.org/officeDocument/2006/relationships/hyperlink" Target="https://optovikufa.ru/product/236119/nasadka-dlya-snyatiya-izolyacii-svinchivaniya-i-soedineniya-provodnikov-24-4mm2-smartbuy-tools/" TargetMode="External"/><Relationship Id="rId_hyperlink_3317" Type="http://schemas.openxmlformats.org/officeDocument/2006/relationships/hyperlink" Target="https://optovikufa.ru/product/241381/stripper-mnogofunkcionalnyy-kabelerez-lit-8/" TargetMode="External"/><Relationship Id="rId_hyperlink_3318" Type="http://schemas.openxmlformats.org/officeDocument/2006/relationships/hyperlink" Target="https://optovikufa.ru/product/236802/stripper-mnogofunkcionalnyy-8-lit/" TargetMode="External"/><Relationship Id="rId_hyperlink_3319" Type="http://schemas.openxmlformats.org/officeDocument/2006/relationships/hyperlink" Target="https://optovikufa.ru/product/236121/semnik-izolyacii-dlya-koaksialnyh-provodov-12mm-smartbuy-tools/" TargetMode="External"/><Relationship Id="rId_hyperlink_3320" Type="http://schemas.openxmlformats.org/officeDocument/2006/relationships/hyperlink" Target="https://optovikufa.ru/product/238859/semnik-izolyacii-nozh-dlya-obrezki-provodnika-05-6mm-smartbuy-tools-sbt-wcr-3/" TargetMode="External"/><Relationship Id="rId_hyperlink_3321" Type="http://schemas.openxmlformats.org/officeDocument/2006/relationships/hyperlink" Target="https://optovikufa.ru/product/236428/instrument-dlya-obzhima-klemm-pt-ink06/" TargetMode="External"/><Relationship Id="rId_hyperlink_3322" Type="http://schemas.openxmlformats.org/officeDocument/2006/relationships/hyperlink" Target="https://optovikufa.ru/product/238001/krimper-kompressionnyy-dlya-obzhima-rca-bnc-f-pt-ink02/" TargetMode="External"/><Relationship Id="rId_hyperlink_3323" Type="http://schemas.openxmlformats.org/officeDocument/2006/relationships/hyperlink" Target="https://optovikufa.ru/product/236426/instrument-dlya-obzhima-klemm-pt-ink04/" TargetMode="External"/><Relationship Id="rId_hyperlink_3324" Type="http://schemas.openxmlformats.org/officeDocument/2006/relationships/hyperlink" Target="https://optovikufa.ru/product/129026/krimper-dlya-obzhima-6p6c-8p8c-s-fiksatorom-obzhimayut-otrezayut-snimayut-izolyaciyu/" TargetMode="External"/><Relationship Id="rId_hyperlink_3325" Type="http://schemas.openxmlformats.org/officeDocument/2006/relationships/hyperlink" Target="https://optovikufa.ru/product/153963/krimper-dlya-obzhima-8p-kleschi-dlya-obzhima-kompyuternye-dzhett/" TargetMode="External"/><Relationship Id="rId_hyperlink_3326" Type="http://schemas.openxmlformats.org/officeDocument/2006/relationships/hyperlink" Target="https://optovikufa.ru/product/242574/zerkalo-s-teleskopicheskoy-rukoyatkoy-avs-d30mm-l150-475mm/" TargetMode="External"/><Relationship Id="rId_hyperlink_3327" Type="http://schemas.openxmlformats.org/officeDocument/2006/relationships/hyperlink" Target="https://optovikufa.ru/product/225528/zerkalo-s-teleskopicheskoy-rukoyatkoy-bs521423/" TargetMode="External"/><Relationship Id="rId_hyperlink_3328" Type="http://schemas.openxmlformats.org/officeDocument/2006/relationships/hyperlink" Target="https://optovikufa.ru/product/127985/lopatka-stalnaya-jm-z06-jakemy/" TargetMode="External"/><Relationship Id="rId_hyperlink_3329" Type="http://schemas.openxmlformats.org/officeDocument/2006/relationships/hyperlink" Target="https://optovikufa.ru/product/217928/nabor-dlya-namotki-spirali-nagrevatelya-universal-tools/" TargetMode="External"/><Relationship Id="rId_hyperlink_3330" Type="http://schemas.openxmlformats.org/officeDocument/2006/relationships/hyperlink" Target="https://optovikufa.ru/product/238077/nabor-montazhnyh-instrumentov-elektrika-6sht/" TargetMode="External"/><Relationship Id="rId_hyperlink_3331" Type="http://schemas.openxmlformats.org/officeDocument/2006/relationships/hyperlink" Target="https://optovikufa.ru/product/127744/shilo-montazhnoe-pryamoe-shm-02-160mm-rexant-12-4322-8/" TargetMode="External"/><Relationship Id="rId_hyperlink_3332" Type="http://schemas.openxmlformats.org/officeDocument/2006/relationships/hyperlink" Target="https://optovikufa.ru/product/240089/pincet-vakuumnyy-3-smennye-nasadki-emt-201/" TargetMode="External"/><Relationship Id="rId_hyperlink_3333" Type="http://schemas.openxmlformats.org/officeDocument/2006/relationships/hyperlink" Target="https://optovikufa.ru/product/240111/pincet-precizionnyy-reguliruemyy-zazhim-uglovoy-165mm-emt-105/" TargetMode="External"/><Relationship Id="rId_hyperlink_3334" Type="http://schemas.openxmlformats.org/officeDocument/2006/relationships/hyperlink" Target="https://optovikufa.ru/product/237131/nabornaya-yacheyka-40h90h140-siniy/" TargetMode="External"/><Relationship Id="rId_hyperlink_3335" Type="http://schemas.openxmlformats.org/officeDocument/2006/relationships/hyperlink" Target="https://optovikufa.ru/product/237688/nabornaya-yacheyka-45h90h164-siniy/" TargetMode="External"/><Relationship Id="rId_hyperlink_3336" Type="http://schemas.openxmlformats.org/officeDocument/2006/relationships/hyperlink" Target="https://optovikufa.ru/product/230655/sumka-na-poyas-spark-lux-019/" TargetMode="External"/><Relationship Id="rId_hyperlink_3337" Type="http://schemas.openxmlformats.org/officeDocument/2006/relationships/hyperlink" Target="https://optovikufa.ru/product/230656/sumka-na-poyas-spark-lux-029/" TargetMode="External"/><Relationship Id="rId_hyperlink_3338" Type="http://schemas.openxmlformats.org/officeDocument/2006/relationships/hyperlink" Target="https://optovikufa.ru/product/236557/sumka-na-poyas-spark-lux-040/" TargetMode="External"/><Relationship Id="rId_hyperlink_3339" Type="http://schemas.openxmlformats.org/officeDocument/2006/relationships/hyperlink" Target="https://optovikufa.ru/product/239512/sumka-na-poyas-x-pert-bt-51-c-karmanami/" TargetMode="External"/><Relationship Id="rId_hyperlink_3340" Type="http://schemas.openxmlformats.org/officeDocument/2006/relationships/hyperlink" Target="https://optovikufa.ru/product/239513/sumka-na-poyas-x-pert-bt-52-c-karmanami/" TargetMode="External"/><Relationship Id="rId_hyperlink_3341" Type="http://schemas.openxmlformats.org/officeDocument/2006/relationships/hyperlink" Target="https://optovikufa.ru/product/242321/sumka-na-poyas-x-pert-bt-54-c-karmanami/" TargetMode="External"/><Relationship Id="rId_hyperlink_3342" Type="http://schemas.openxmlformats.org/officeDocument/2006/relationships/hyperlink" Target="https://optovikufa.ru/product/239514/sumka-na-poyas-x-pert-bt-55-c-karmanami/" TargetMode="External"/><Relationship Id="rId_hyperlink_3343" Type="http://schemas.openxmlformats.org/officeDocument/2006/relationships/hyperlink" Target="https://optovikufa.ru/product/242458/yaschik-dlya-instrumenta-metallzamki-stalnye-stenki-lit-q14-365x185x180mm/" TargetMode="External"/><Relationship Id="rId_hyperlink_3344" Type="http://schemas.openxmlformats.org/officeDocument/2006/relationships/hyperlink" Target="https://optovikufa.ru/product/242459/yaschik-dlya-instrumenta-metallzamki-stalnye-stenki-lit-q17-408x195x185mm/" TargetMode="External"/><Relationship Id="rId_hyperlink_3345" Type="http://schemas.openxmlformats.org/officeDocument/2006/relationships/hyperlink" Target="https://optovikufa.ru/product/237907/yaschik-dlya-instrumenta-plastikovyy-lit-h13-s-330x150x144mm/" TargetMode="External"/><Relationship Id="rId_hyperlink_3346" Type="http://schemas.openxmlformats.org/officeDocument/2006/relationships/hyperlink" Target="https://optovikufa.ru/product/237909/yaschik-dlya-instrumenta-plastikovyy-lit-h15-s-370x188x181mm/" TargetMode="External"/><Relationship Id="rId_hyperlink_3347" Type="http://schemas.openxmlformats.org/officeDocument/2006/relationships/hyperlink" Target="https://optovikufa.ru/product/237910/yaschik-dlya-instrumenta-plastikovyy-lit-h17-s-432x232x220mm/" TargetMode="External"/><Relationship Id="rId_hyperlink_3348" Type="http://schemas.openxmlformats.org/officeDocument/2006/relationships/hyperlink" Target="https://optovikufa.ru/product/237911/yaschik-dlya-instrumenta-plastikovyy-lit-h20-s-510x281x257mm/" TargetMode="External"/><Relationship Id="rId_hyperlink_3349" Type="http://schemas.openxmlformats.org/officeDocument/2006/relationships/hyperlink" Target="https://optovikufa.ru/product/170612/akkumulyator-camelion-r03-300mah-ni-cd-bl-2-24/" TargetMode="External"/><Relationship Id="rId_hyperlink_3350" Type="http://schemas.openxmlformats.org/officeDocument/2006/relationships/hyperlink" Target="https://optovikufa.ru/product/170613/akkumulyator-camelion-r03-600mah-ni-mh-bl-2-24/" TargetMode="External"/><Relationship Id="rId_hyperlink_3351" Type="http://schemas.openxmlformats.org/officeDocument/2006/relationships/hyperlink" Target="https://optovikufa.ru/product/170614/akkumulyator-camelion-r03-800mah-ni-mh-bl-2-24/" TargetMode="External"/><Relationship Id="rId_hyperlink_3352" Type="http://schemas.openxmlformats.org/officeDocument/2006/relationships/hyperlink" Target="https://optovikufa.ru/product/170615/akkumulyator-camelion-r03-900mah-ni-mh-bl-2-24/" TargetMode="External"/><Relationship Id="rId_hyperlink_3353" Type="http://schemas.openxmlformats.org/officeDocument/2006/relationships/hyperlink" Target="https://optovikufa.ru/product/170617/akkumulyator-camelion-r03-1000mah-ni-mh-bl-2-24/" TargetMode="External"/><Relationship Id="rId_hyperlink_3354" Type="http://schemas.openxmlformats.org/officeDocument/2006/relationships/hyperlink" Target="https://optovikufa.ru/product/228596/akkumulyator-gp-r03-400mah-ni-mh-bl-2-predzaryazhennye-20/" TargetMode="External"/><Relationship Id="rId_hyperlink_3355" Type="http://schemas.openxmlformats.org/officeDocument/2006/relationships/hyperlink" Target="https://optovikufa.ru/product/240223/akkumulyator-gp-r03-850mah-ni-mh-recyko-zaryazhennye-bl-2-20/" TargetMode="External"/><Relationship Id="rId_hyperlink_3356" Type="http://schemas.openxmlformats.org/officeDocument/2006/relationships/hyperlink" Target="https://optovikufa.ru/product/154041/akkumulyator-gp-r03-950mah-ni-mh-bl-2-20/" TargetMode="External"/><Relationship Id="rId_hyperlink_3357" Type="http://schemas.openxmlformats.org/officeDocument/2006/relationships/hyperlink" Target="https://optovikufa.ru/product/191138/akkumulyator-gp-r03-1000mah-ni-mh-bl-2-20/" TargetMode="External"/><Relationship Id="rId_hyperlink_3358" Type="http://schemas.openxmlformats.org/officeDocument/2006/relationships/hyperlink" Target="https://optovikufa.ru/product/131814/akkumulyator-gp-r03-650mah-ni-mh-bl-2-20/" TargetMode="External"/><Relationship Id="rId_hyperlink_3359" Type="http://schemas.openxmlformats.org/officeDocument/2006/relationships/hyperlink" Target="https://optovikufa.ru/product/235838/akkumulyator-robiton-dect-hr03-550mah-ni-mh-bl-2-dlya-radiotelefonov/" TargetMode="External"/><Relationship Id="rId_hyperlink_3360" Type="http://schemas.openxmlformats.org/officeDocument/2006/relationships/hyperlink" Target="https://optovikufa.ru/product/233994/akkumulyator-robiton-r03-600mah-ni-mh-bl-2/" TargetMode="External"/><Relationship Id="rId_hyperlink_3361" Type="http://schemas.openxmlformats.org/officeDocument/2006/relationships/hyperlink" Target="https://optovikufa.ru/product/233274/akkumulyator-robiton-r03-900mah-ni-mh-bl-2/" TargetMode="External"/><Relationship Id="rId_hyperlink_3362" Type="http://schemas.openxmlformats.org/officeDocument/2006/relationships/hyperlink" Target="https://optovikufa.ru/product/236721/akkumulyator-robiton-siberia-r03-800mah-ni-mh-bl-2-nizkotemperaturnye/" TargetMode="External"/><Relationship Id="rId_hyperlink_3363" Type="http://schemas.openxmlformats.org/officeDocument/2006/relationships/hyperlink" Target="https://optovikufa.ru/product/124986/akkumulyator-smartbuy-r03-600mah-ni-mh-bl-2-24240/" TargetMode="External"/><Relationship Id="rId_hyperlink_3364" Type="http://schemas.openxmlformats.org/officeDocument/2006/relationships/hyperlink" Target="https://optovikufa.ru/product/147641/akkumulyator-smartbuy-r03-800mah-bl-2-24240/" TargetMode="External"/><Relationship Id="rId_hyperlink_3365" Type="http://schemas.openxmlformats.org/officeDocument/2006/relationships/hyperlink" Target="https://optovikufa.ru/product/147642/akkumulyator-smartbuy-r03-950mah-bl-2-24240/" TargetMode="External"/><Relationship Id="rId_hyperlink_3366" Type="http://schemas.openxmlformats.org/officeDocument/2006/relationships/hyperlink" Target="https://optovikufa.ru/product/169386/akkumulyator-smartbuy-r03-1100mah-bl-2/" TargetMode="External"/><Relationship Id="rId_hyperlink_3367" Type="http://schemas.openxmlformats.org/officeDocument/2006/relationships/hyperlink" Target="https://optovikufa.ru/product/128949/akkumulyator-camelion-r06-600mah-ni-cd-bl-2-24/" TargetMode="External"/><Relationship Id="rId_hyperlink_3368" Type="http://schemas.openxmlformats.org/officeDocument/2006/relationships/hyperlink" Target="https://optovikufa.ru/product/128950/akkumulyator-camelion-r06-800mah-ni-cd-bl-2-24/" TargetMode="External"/><Relationship Id="rId_hyperlink_3369" Type="http://schemas.openxmlformats.org/officeDocument/2006/relationships/hyperlink" Target="https://optovikufa.ru/product/128951/akkumulyator-camelion-r06-1000mah-ni-cd-bl-2-24/" TargetMode="External"/><Relationship Id="rId_hyperlink_3370" Type="http://schemas.openxmlformats.org/officeDocument/2006/relationships/hyperlink" Target="https://optovikufa.ru/product/128952/akkumulyator-camelion-r06-1500mah-ni-mh-bl-2-24/" TargetMode="External"/><Relationship Id="rId_hyperlink_3371" Type="http://schemas.openxmlformats.org/officeDocument/2006/relationships/hyperlink" Target="https://optovikufa.ru/product/128953/akkumulyator-camelion-r06-1800mah-ni-mh-bl-2-24/" TargetMode="External"/><Relationship Id="rId_hyperlink_3372" Type="http://schemas.openxmlformats.org/officeDocument/2006/relationships/hyperlink" Target="https://optovikufa.ru/product/128956/akkumulyator-camelion-r06-2300mah-ni-mh-bl-2-24/" TargetMode="External"/><Relationship Id="rId_hyperlink_3373" Type="http://schemas.openxmlformats.org/officeDocument/2006/relationships/hyperlink" Target="https://optovikufa.ru/product/154997/akkumulyator-camelion-r06-2500mah-ni-mh-bl-2-24/" TargetMode="External"/><Relationship Id="rId_hyperlink_3374" Type="http://schemas.openxmlformats.org/officeDocument/2006/relationships/hyperlink" Target="https://optovikufa.ru/product/131804/akkumulyator-gp-r06-1000mah-ni-cd-bl-2/" TargetMode="External"/><Relationship Id="rId_hyperlink_3375" Type="http://schemas.openxmlformats.org/officeDocument/2006/relationships/hyperlink" Target="https://optovikufa.ru/product/131796/akkumulyator-gp-r06-1300mah-ni-mh-bl-2/" TargetMode="External"/><Relationship Id="rId_hyperlink_3376" Type="http://schemas.openxmlformats.org/officeDocument/2006/relationships/hyperlink" Target="https://optovikufa.ru/product/136466/akkumulyator-gp-r06-1600mah-ni-mh-bl-2/" TargetMode="External"/><Relationship Id="rId_hyperlink_3377" Type="http://schemas.openxmlformats.org/officeDocument/2006/relationships/hyperlink" Target="https://optovikufa.ru/product/131807/akkumulyator-gp-r06-1800mah-ni-mh-bl-2/" TargetMode="External"/><Relationship Id="rId_hyperlink_3378" Type="http://schemas.openxmlformats.org/officeDocument/2006/relationships/hyperlink" Target="https://optovikufa.ru/product/131802/akkumulyator-gp-r06-2100mah-ni-mh-bl-2-20/" TargetMode="External"/><Relationship Id="rId_hyperlink_3379" Type="http://schemas.openxmlformats.org/officeDocument/2006/relationships/hyperlink" Target="https://optovikufa.ru/product/221885/akkumulyator-gp-r06-2100mah-recyko-zaryazhennye-bl-2-20/" TargetMode="External"/><Relationship Id="rId_hyperlink_3380" Type="http://schemas.openxmlformats.org/officeDocument/2006/relationships/hyperlink" Target="https://optovikufa.ru/product/131805/akkumulyator-gp-r06-2300mah-ni-mh-bl-2-20/" TargetMode="External"/><Relationship Id="rId_hyperlink_3381" Type="http://schemas.openxmlformats.org/officeDocument/2006/relationships/hyperlink" Target="https://optovikufa.ru/product/131809/akkumulyator-gp-r06-2700mah-ni-mh-bl-2-20/" TargetMode="External"/><Relationship Id="rId_hyperlink_3382" Type="http://schemas.openxmlformats.org/officeDocument/2006/relationships/hyperlink" Target="https://optovikufa.ru/product/235839/akkumulyator-robiton-dect-hr06-1300mah-ni-mh-bl-2-dlya-radiotelefonov/" TargetMode="External"/><Relationship Id="rId_hyperlink_3383" Type="http://schemas.openxmlformats.org/officeDocument/2006/relationships/hyperlink" Target="https://optovikufa.ru/product/232842/akkumulyator-robiton-r06-1800mah-ni-mh-bl-2/" TargetMode="External"/><Relationship Id="rId_hyperlink_3384" Type="http://schemas.openxmlformats.org/officeDocument/2006/relationships/hyperlink" Target="https://optovikufa.ru/product/232844/akkumulyator-robiton-r06-2500mah-ni-mh-bl-2/" TargetMode="External"/><Relationship Id="rId_hyperlink_3385" Type="http://schemas.openxmlformats.org/officeDocument/2006/relationships/hyperlink" Target="https://optovikufa.ru/product/236722/akkumulyator-robiton-siberia-r06-2000mah-ni-mh-bl-2-nizkotemperaturnye/" TargetMode="External"/><Relationship Id="rId_hyperlink_3386" Type="http://schemas.openxmlformats.org/officeDocument/2006/relationships/hyperlink" Target="https://optovikufa.ru/product/237975/akkumulyator-robiton-solar-r06-600mah-ni-mh-bl-2/" TargetMode="External"/><Relationship Id="rId_hyperlink_3387" Type="http://schemas.openxmlformats.org/officeDocument/2006/relationships/hyperlink" Target="https://optovikufa.ru/product/124985/akkumulyator-smartbuy-r06-1000mah-bl-2/" TargetMode="External"/><Relationship Id="rId_hyperlink_3388" Type="http://schemas.openxmlformats.org/officeDocument/2006/relationships/hyperlink" Target="https://optovikufa.ru/product/238114/akkumulyator-smartbuy-r06-1600mah-bl-2/" TargetMode="External"/><Relationship Id="rId_hyperlink_3389" Type="http://schemas.openxmlformats.org/officeDocument/2006/relationships/hyperlink" Target="https://optovikufa.ru/product/238117/akkumulyator-smartbuy-r06-1800mah-bl-2/" TargetMode="External"/><Relationship Id="rId_hyperlink_3390" Type="http://schemas.openxmlformats.org/officeDocument/2006/relationships/hyperlink" Target="https://optovikufa.ru/product/238112/akkumulyator-smartbuy-r06-2100mah-bl-2/" TargetMode="External"/><Relationship Id="rId_hyperlink_3391" Type="http://schemas.openxmlformats.org/officeDocument/2006/relationships/hyperlink" Target="https://optovikufa.ru/product/147639/akkumulyator-smartbuy-r06-2300mah-bl-2/" TargetMode="External"/><Relationship Id="rId_hyperlink_3392" Type="http://schemas.openxmlformats.org/officeDocument/2006/relationships/hyperlink" Target="https://optovikufa.ru/product/147640/akkumulyator-smartbuy-r06-2500mah-bl-2/" TargetMode="External"/><Relationship Id="rId_hyperlink_3393" Type="http://schemas.openxmlformats.org/officeDocument/2006/relationships/hyperlink" Target="https://optovikufa.ru/product/127608/akkumulyator-smartbuy-r06-2700mah-bl-2/" TargetMode="External"/><Relationship Id="rId_hyperlink_3394" Type="http://schemas.openxmlformats.org/officeDocument/2006/relationships/hyperlink" Target="https://optovikufa.ru/product/135177/akkumulyator-camelion-r20-4500mah-ni-cd-bl-2-12/" TargetMode="External"/><Relationship Id="rId_hyperlink_3395" Type="http://schemas.openxmlformats.org/officeDocument/2006/relationships/hyperlink" Target="https://optovikufa.ru/product/222579/akkumulyator-robiton-250mh9-1-krona/" TargetMode="External"/><Relationship Id="rId_hyperlink_3396" Type="http://schemas.openxmlformats.org/officeDocument/2006/relationships/hyperlink" Target="https://optovikufa.ru/product/239472/akkumulyator-robiton-6f22-lir9v650-650mah/" TargetMode="External"/><Relationship Id="rId_hyperlink_3397" Type="http://schemas.openxmlformats.org/officeDocument/2006/relationships/hyperlink" Target="https://optovikufa.ru/product/178033/akkumulyator-45sc-1200mah-12b-ni-cd-standart-2334-dlya-shurupovertov-et-d-45sc1200/" TargetMode="External"/><Relationship Id="rId_hyperlink_3398" Type="http://schemas.openxmlformats.org/officeDocument/2006/relationships/hyperlink" Target="https://optovikufa.ru/product/219568/akkumulyator-ep-d-sc2000-standart/" TargetMode="External"/><Relationship Id="rId_hyperlink_3399" Type="http://schemas.openxmlformats.org/officeDocument/2006/relationships/hyperlink" Target="https://optovikufa.ru/product/224101/akkumulyator-et-d-45sc1400p-2334-1400mah/" TargetMode="External"/><Relationship Id="rId_hyperlink_3400" Type="http://schemas.openxmlformats.org/officeDocument/2006/relationships/hyperlink" Target="https://optovikufa.ru/product/224102/akkumulyator-et-d-sc1300-standart-2343-1300mah-dlya-shurupovertov/" TargetMode="External"/><Relationship Id="rId_hyperlink_3401" Type="http://schemas.openxmlformats.org/officeDocument/2006/relationships/hyperlink" Target="https://optovikufa.ru/product/237480/akkumulyator-et-d-sc1800hp-2343-1800mah/" TargetMode="External"/><Relationship Id="rId_hyperlink_3402" Type="http://schemas.openxmlformats.org/officeDocument/2006/relationships/hyperlink" Target="https://optovikufa.ru/product/231324/akkumulyator-h-12aaa240-240mah-et/" TargetMode="External"/><Relationship Id="rId_hyperlink_3403" Type="http://schemas.openxmlformats.org/officeDocument/2006/relationships/hyperlink" Target="https://optovikufa.ru/product/231326/akkumulyator-h-13aaa120-et/" TargetMode="External"/><Relationship Id="rId_hyperlink_3404" Type="http://schemas.openxmlformats.org/officeDocument/2006/relationships/hyperlink" Target="https://optovikufa.ru/product/231328/akkumulyator-h-14aaa80-et/" TargetMode="External"/><Relationship Id="rId_hyperlink_3405" Type="http://schemas.openxmlformats.org/officeDocument/2006/relationships/hyperlink" Target="https://optovikufa.ru/product/235587/akkumulyator-h-23aa650-standart-650mah-et/" TargetMode="External"/><Relationship Id="rId_hyperlink_3406" Type="http://schemas.openxmlformats.org/officeDocument/2006/relationships/hyperlink" Target="https://optovikufa.ru/product/219579/akkumulyator-robiton-dect-t157-3x23aa-36v-300-mah-ni-mh/" TargetMode="External"/><Relationship Id="rId_hyperlink_3407" Type="http://schemas.openxmlformats.org/officeDocument/2006/relationships/hyperlink" Target="https://optovikufa.ru/product/219580/akkumulyator-robiton-dect-t160-3xaa-36v-600-mah-ni-mh/" TargetMode="External"/><Relationship Id="rId_hyperlink_3408" Type="http://schemas.openxmlformats.org/officeDocument/2006/relationships/hyperlink" Target="https://optovikufa.ru/product/219581/akkumulyator-robiton-dect-t207-3xaaa-36v-600-mah-ni-mh/" TargetMode="External"/><Relationship Id="rId_hyperlink_3409" Type="http://schemas.openxmlformats.org/officeDocument/2006/relationships/hyperlink" Target="https://optovikufa.ru/product/223395/akkumulyator-robiton-dect-t236-3xaa-36b-1300mach/" TargetMode="External"/><Relationship Id="rId_hyperlink_3410" Type="http://schemas.openxmlformats.org/officeDocument/2006/relationships/hyperlink" Target="https://optovikufa.ru/product/219582/akkumulyator-robiton-dect-t314-3x23aaa-36v-300-mah-ni-mh/" TargetMode="External"/><Relationship Id="rId_hyperlink_3411" Type="http://schemas.openxmlformats.org/officeDocument/2006/relationships/hyperlink" Target="https://optovikufa.ru/product/219583/akkumulyator-robiton-dect-t356-2xaaa-ph1/" TargetMode="External"/><Relationship Id="rId_hyperlink_3412" Type="http://schemas.openxmlformats.org/officeDocument/2006/relationships/hyperlink" Target="https://optovikufa.ru/product/224439/akkumulyator-robiton-dect-t393-4xaa-48b-1500mach/" TargetMode="External"/><Relationship Id="rId_hyperlink_3413" Type="http://schemas.openxmlformats.org/officeDocument/2006/relationships/hyperlink" Target="https://optovikufa.ru/product/148049/akkumulyator-14500-1200-mah-37v-bp-1/" TargetMode="External"/><Relationship Id="rId_hyperlink_3414" Type="http://schemas.openxmlformats.org/officeDocument/2006/relationships/hyperlink" Target="https://optovikufa.ru/product/241632/akkumulyator-14500-et-icr14500f-t-900mah-2-nozhki-gorizontalnyy-montazh/" TargetMode="External"/><Relationship Id="rId_hyperlink_3415" Type="http://schemas.openxmlformats.org/officeDocument/2006/relationships/hyperlink" Target="https://optovikufa.ru/product/241633/akkumulyator-14500-et-icr14500h-t-1000mah-2-nozhki-gorizontalnyy-montazh/" TargetMode="External"/><Relationship Id="rId_hyperlink_3416" Type="http://schemas.openxmlformats.org/officeDocument/2006/relationships/hyperlink" Target="https://optovikufa.ru/product/231812/akkumulyator-14500-smartbuy-1s800-mah-37v-bp-1/" TargetMode="External"/><Relationship Id="rId_hyperlink_3417" Type="http://schemas.openxmlformats.org/officeDocument/2006/relationships/hyperlink" Target="https://optovikufa.ru/product/230921/akkumulyator-16340-robiton-550-mah-bl-2-s-zaschitoy/" TargetMode="External"/><Relationship Id="rId_hyperlink_3418" Type="http://schemas.openxmlformats.org/officeDocument/2006/relationships/hyperlink" Target="https://optovikufa.ru/product/222658/akkumulyator-18650-dream-bt01-2000mah-tehpak-s-vysokim-vyvodom-up-paket/" TargetMode="External"/><Relationship Id="rId_hyperlink_3419" Type="http://schemas.openxmlformats.org/officeDocument/2006/relationships/hyperlink" Target="https://optovikufa.ru/product/220936/akkumulyator-18650-dream-bt01-2000mah-tehpak-s-vysokim-vyvodom-/" TargetMode="External"/><Relationship Id="rId_hyperlink_3420" Type="http://schemas.openxmlformats.org/officeDocument/2006/relationships/hyperlink" Target="https://optovikufa.ru/product/220937/akkumulyator-18650-dream-bt02-2000mah/" TargetMode="External"/><Relationship Id="rId_hyperlink_3421" Type="http://schemas.openxmlformats.org/officeDocument/2006/relationships/hyperlink" Target="https://optovikufa.ru/product/237951/akkumulyator-18650-dream-bt03-2000mah-20a/" TargetMode="External"/><Relationship Id="rId_hyperlink_3422" Type="http://schemas.openxmlformats.org/officeDocument/2006/relationships/hyperlink" Target="https://optovikufa.ru/product/236900/akkumulyator-18650-dream-bt03-2000mah-20a-tehpak/" TargetMode="External"/><Relationship Id="rId_hyperlink_3423" Type="http://schemas.openxmlformats.org/officeDocument/2006/relationships/hyperlink" Target="https://optovikufa.ru/product/240949/akkumulyator-18650-dream-bt06-2600mah/" TargetMode="External"/><Relationship Id="rId_hyperlink_3424" Type="http://schemas.openxmlformats.org/officeDocument/2006/relationships/hyperlink" Target="https://optovikufa.ru/product/240950/akkumulyator-18650-dream-bt07-3300mah/" TargetMode="External"/><Relationship Id="rId_hyperlink_3425" Type="http://schemas.openxmlformats.org/officeDocument/2006/relationships/hyperlink" Target="https://optovikufa.ru/product/223570/akkumulyator-18650-panasonic-ncr18650bd-3200mah/" TargetMode="External"/><Relationship Id="rId_hyperlink_3426" Type="http://schemas.openxmlformats.org/officeDocument/2006/relationships/hyperlink" Target="https://optovikufa.ru/product/228064/akkumulyator-18650-robiton-1800np-mah-bez-zaschity/" TargetMode="External"/><Relationship Id="rId_hyperlink_3427" Type="http://schemas.openxmlformats.org/officeDocument/2006/relationships/hyperlink" Target="https://optovikufa.ru/product/217385/akkumulyator-18650-smartbuy-2000mah-bp-2/" TargetMode="External"/><Relationship Id="rId_hyperlink_3428" Type="http://schemas.openxmlformats.org/officeDocument/2006/relationships/hyperlink" Target="https://optovikufa.ru/product/237644/akkumulyator-18650-smartbuy-2000mah-bp-2-vysokaya-tokootdacha/" TargetMode="External"/><Relationship Id="rId_hyperlink_3429" Type="http://schemas.openxmlformats.org/officeDocument/2006/relationships/hyperlink" Target="https://optovikufa.ru/product/219094/akkumulyator-18650-smartbuy-2200mah-blister/" TargetMode="External"/><Relationship Id="rId_hyperlink_3430" Type="http://schemas.openxmlformats.org/officeDocument/2006/relationships/hyperlink" Target="https://optovikufa.ru/product/240614/akkumulyator-18650-smartbuy-2500mah-s-vyvodami/" TargetMode="External"/><Relationship Id="rId_hyperlink_3431" Type="http://schemas.openxmlformats.org/officeDocument/2006/relationships/hyperlink" Target="https://optovikufa.ru/product/238111/akkumulyator-18650-smartbuy-3000mah-1s/" TargetMode="External"/><Relationship Id="rId_hyperlink_3432" Type="http://schemas.openxmlformats.org/officeDocument/2006/relationships/hyperlink" Target="https://optovikufa.ru/product/223448/akkumulyator-18650-sony-us18650vtc6-3120mah-30a-vysokaya-tokootdacha/" TargetMode="External"/><Relationship Id="rId_hyperlink_3433" Type="http://schemas.openxmlformats.org/officeDocument/2006/relationships/hyperlink" Target="https://optovikufa.ru/product/238033/akkumulyator-18650-1500-mah-37v-vysokotokovyy-22a-li-ion-bp-2-s-vysokim-vyvodom-/" TargetMode="External"/><Relationship Id="rId_hyperlink_3434" Type="http://schemas.openxmlformats.org/officeDocument/2006/relationships/hyperlink" Target="https://optovikufa.ru/product/238032/akkumulyator-18650-1500-mah-37v-vysokotokovyy-22a-li-ion-bp-2-s-ploskim-vyvodom-/" TargetMode="External"/><Relationship Id="rId_hyperlink_3435" Type="http://schemas.openxmlformats.org/officeDocument/2006/relationships/hyperlink" Target="https://optovikufa.ru/product/148295/akkumulyator-18650-2000-mah-37v-vysokotokovyy-20a-li-ion-bp-2/" TargetMode="External"/><Relationship Id="rId_hyperlink_3436" Type="http://schemas.openxmlformats.org/officeDocument/2006/relationships/hyperlink" Target="https://optovikufa.ru/product/238034/akkumulyator-18650-2500-mah-37v-vysokotokovyy-30a-li-ion-bp-2-s-ploskim-vyvodom-/" TargetMode="External"/><Relationship Id="rId_hyperlink_3437" Type="http://schemas.openxmlformats.org/officeDocument/2006/relationships/hyperlink" Target="https://optovikufa.ru/product/238202/akkumulyator-18650-3500-mah-37v-vysokotokovyy-10a-li-ion-bp-2/" TargetMode="External"/><Relationship Id="rId_hyperlink_3438" Type="http://schemas.openxmlformats.org/officeDocument/2006/relationships/hyperlink" Target="https://optovikufa.ru/product/230368/akkumulyator-26500-3200-mah-protected-icr26500b-upak-2sht/" TargetMode="External"/><Relationship Id="rId_hyperlink_3439" Type="http://schemas.openxmlformats.org/officeDocument/2006/relationships/hyperlink" Target="https://optovikufa.ru/product/235940/akkumulyator-32700-7000-mah-70a-li-ion-bp-1/" TargetMode="External"/><Relationship Id="rId_hyperlink_3440" Type="http://schemas.openxmlformats.org/officeDocument/2006/relationships/hyperlink" Target="https://optovikufa.ru/product/235954/akkumulyator-32700-7000-mah-70a-li-ion-bp-1-dlya-payki/" TargetMode="External"/><Relationship Id="rId_hyperlink_3441" Type="http://schemas.openxmlformats.org/officeDocument/2006/relationships/hyperlink" Target="https://optovikufa.ru/product/170220/akkumulyator-icr-14500-800-mah-97236/" TargetMode="External"/><Relationship Id="rId_hyperlink_3442" Type="http://schemas.openxmlformats.org/officeDocument/2006/relationships/hyperlink" Target="https://optovikufa.ru/product/236718/akkumulyator-robiton-lgc1500-30a-lg18650he2-pk1/" TargetMode="External"/><Relationship Id="rId_hyperlink_3443" Type="http://schemas.openxmlformats.org/officeDocument/2006/relationships/hyperlink" Target="https://optovikufa.ru/product/236719/akkumulyator-robiton-lgc2500-20a-lg18650he2-pk1/" TargetMode="External"/><Relationship Id="rId_hyperlink_3444" Type="http://schemas.openxmlformats.org/officeDocument/2006/relationships/hyperlink" Target="https://optovikufa.ru/product/237465/akkumulyator-li-pol-lp103052-20cj-37b-1400ma/" TargetMode="External"/><Relationship Id="rId_hyperlink_3445" Type="http://schemas.openxmlformats.org/officeDocument/2006/relationships/hyperlink" Target="https://optovikufa.ru/product/128054/akkumulyator-li-pol-lp232635-37b-130mah-s-zaschitoy-robiton/" TargetMode="External"/><Relationship Id="rId_hyperlink_3446" Type="http://schemas.openxmlformats.org/officeDocument/2006/relationships/hyperlink" Target="https://optovikufa.ru/product/128055/akkumulyator-li-pol-lp233350-37b-310mah-s-zaschitoy-robiton/" TargetMode="External"/><Relationship Id="rId_hyperlink_3447" Type="http://schemas.openxmlformats.org/officeDocument/2006/relationships/hyperlink" Target="https://optovikufa.ru/product/237466/akkumulyator-li-pol-lp302248-pcm-37b-250ma/" TargetMode="External"/><Relationship Id="rId_hyperlink_3448" Type="http://schemas.openxmlformats.org/officeDocument/2006/relationships/hyperlink" Target="https://optovikufa.ru/product/224113/akkumulyator-li-pol-lp303030-37v-180mach-pk1-robiton/" TargetMode="External"/><Relationship Id="rId_hyperlink_3449" Type="http://schemas.openxmlformats.org/officeDocument/2006/relationships/hyperlink" Target="https://optovikufa.ru/product/237472/akkumulyator-li-pol-lp305565-1000mah-et/" TargetMode="External"/><Relationship Id="rId_hyperlink_3450" Type="http://schemas.openxmlformats.org/officeDocument/2006/relationships/hyperlink" Target="https://optovikufa.ru/product/224047/akkumulyator-li-pol-lp401430-37v-120mach-pk1-s-zaschitoy-robiton/" TargetMode="External"/><Relationship Id="rId_hyperlink_3451" Type="http://schemas.openxmlformats.org/officeDocument/2006/relationships/hyperlink" Target="https://optovikufa.ru/product/234491/akkumulyator-li-pol-lp401730-37v-150mach-pk1-robiton/" TargetMode="External"/><Relationship Id="rId_hyperlink_3452" Type="http://schemas.openxmlformats.org/officeDocument/2006/relationships/hyperlink" Target="https://optovikufa.ru/product/234492/akkumulyator-li-pol-lp402025-37v-150mach-pk1-robiton/" TargetMode="External"/><Relationship Id="rId_hyperlink_3453" Type="http://schemas.openxmlformats.org/officeDocument/2006/relationships/hyperlink" Target="https://optovikufa.ru/product/230360/akkumulyator-li-pol-lp402030-37v-180mach-pk1-robiton/" TargetMode="External"/><Relationship Id="rId_hyperlink_3454" Type="http://schemas.openxmlformats.org/officeDocument/2006/relationships/hyperlink" Target="https://optovikufa.ru/product/237473/akkumulyator-li-pol-lp403040-37b-450ma/" TargetMode="External"/><Relationship Id="rId_hyperlink_3455" Type="http://schemas.openxmlformats.org/officeDocument/2006/relationships/hyperlink" Target="https://optovikufa.ru/product/224046/akkumulyator-li-pol-lp405085-1700mah-et/" TargetMode="External"/><Relationship Id="rId_hyperlink_3456" Type="http://schemas.openxmlformats.org/officeDocument/2006/relationships/hyperlink" Target="https://optovikufa.ru/product/234469/akkumulyator-li-pol-lp417596-37v-3500mach-pk1-robiton/" TargetMode="External"/><Relationship Id="rId_hyperlink_3457" Type="http://schemas.openxmlformats.org/officeDocument/2006/relationships/hyperlink" Target="https://optovikufa.ru/product/234470/akkumulyator-li-pol-lp451124-37v-65mach-pk1-robiton/" TargetMode="External"/><Relationship Id="rId_hyperlink_3458" Type="http://schemas.openxmlformats.org/officeDocument/2006/relationships/hyperlink" Target="https://optovikufa.ru/product/230361/akkumulyator-li-pol-lp502020-37v-150mach-pk1-robiton/" TargetMode="External"/><Relationship Id="rId_hyperlink_3459" Type="http://schemas.openxmlformats.org/officeDocument/2006/relationships/hyperlink" Target="https://optovikufa.ru/product/234472/akkumulyator-li-pol-lp502035-37v-300mach-pk1-robiton/" TargetMode="External"/><Relationship Id="rId_hyperlink_3460" Type="http://schemas.openxmlformats.org/officeDocument/2006/relationships/hyperlink" Target="https://optovikufa.ru/product/237474/akkumulyator-li-pol-lp503040-37b-560mah/" TargetMode="External"/><Relationship Id="rId_hyperlink_3461" Type="http://schemas.openxmlformats.org/officeDocument/2006/relationships/hyperlink" Target="https://optovikufa.ru/product/237469/akkumulyator-li-pol-lp503070-pcm-37v-1200mah/" TargetMode="External"/><Relationship Id="rId_hyperlink_3462" Type="http://schemas.openxmlformats.org/officeDocument/2006/relationships/hyperlink" Target="https://optovikufa.ru/product/237475/akkumulyator-li-pol-lp5040150-3500mah/" TargetMode="External"/><Relationship Id="rId_hyperlink_3463" Type="http://schemas.openxmlformats.org/officeDocument/2006/relationships/hyperlink" Target="https://optovikufa.ru/product/237476/akkumulyator-li-pol-lp505060-pcm-37b-1500mah/" TargetMode="External"/><Relationship Id="rId_hyperlink_3464" Type="http://schemas.openxmlformats.org/officeDocument/2006/relationships/hyperlink" Target="https://optovikufa.ru/product/237477/akkumulyator-li-pol-lp514046-1100mah/" TargetMode="External"/><Relationship Id="rId_hyperlink_3465" Type="http://schemas.openxmlformats.org/officeDocument/2006/relationships/hyperlink" Target="https://optovikufa.ru/product/178032/akkumulyator-li-pol-lp574240-1100mah-et/" TargetMode="External"/><Relationship Id="rId_hyperlink_3466" Type="http://schemas.openxmlformats.org/officeDocument/2006/relationships/hyperlink" Target="https://optovikufa.ru/product/242133/akkumulyator-li-pol-lp601120-37v-100mach-pk1-robiton/" TargetMode="External"/><Relationship Id="rId_hyperlink_3467" Type="http://schemas.openxmlformats.org/officeDocument/2006/relationships/hyperlink" Target="https://optovikufa.ru/product/237478/akkumulyator-li-pol-lp602060-pcm-37b-700ma/" TargetMode="External"/><Relationship Id="rId_hyperlink_3468" Type="http://schemas.openxmlformats.org/officeDocument/2006/relationships/hyperlink" Target="https://optovikufa.ru/product/242135/akkumulyator-li-pol-lp683440-37v-900mach-pk1-robiton/" TargetMode="External"/><Relationship Id="rId_hyperlink_3469" Type="http://schemas.openxmlformats.org/officeDocument/2006/relationships/hyperlink" Target="https://optovikufa.ru/product/237471/akkumulyator-li-pol-lp752030-37b-300ma/" TargetMode="External"/><Relationship Id="rId_hyperlink_3470" Type="http://schemas.openxmlformats.org/officeDocument/2006/relationships/hyperlink" Target="https://optovikufa.ru/product/228403/akkumulyator-li-pol-lp802035-20c-400mah-et/" TargetMode="External"/><Relationship Id="rId_hyperlink_3471" Type="http://schemas.openxmlformats.org/officeDocument/2006/relationships/hyperlink" Target="https://optovikufa.ru/product/224911/akkumulyator-li-pol-lp802540-20c-600mah-et/" TargetMode="External"/><Relationship Id="rId_hyperlink_3472" Type="http://schemas.openxmlformats.org/officeDocument/2006/relationships/hyperlink" Target="https://optovikufa.ru/product/167333/akkumulyator-li-pol-lp852540-37b-650ma-parnyy-shtepsel/" TargetMode="External"/><Relationship Id="rId_hyperlink_3473" Type="http://schemas.openxmlformats.org/officeDocument/2006/relationships/hyperlink" Target="https://optovikufa.ru/product/224172/akkumulyator-li-pol-lp855085-4300mah-et/" TargetMode="External"/><Relationship Id="rId_hyperlink_3474" Type="http://schemas.openxmlformats.org/officeDocument/2006/relationships/hyperlink" Target="https://optovikufa.ru/product/224883/akkumulyator-li-pol-lp902540-20c-800mah-et/" TargetMode="External"/><Relationship Id="rId_hyperlink_3475" Type="http://schemas.openxmlformats.org/officeDocument/2006/relationships/hyperlink" Target="https://optovikufa.ru/product/237515/akkumulyator-li-pol-lp903052-25cj-1200mah-et/" TargetMode="External"/><Relationship Id="rId_hyperlink_3476" Type="http://schemas.openxmlformats.org/officeDocument/2006/relationships/hyperlink" Target="https://optovikufa.ru/product/223451/akkumulyator-svincovo-kislotnyy-12v-72ah-delta-hr-12-72-dlya-ibp/" TargetMode="External"/><Relationship Id="rId_hyperlink_3477" Type="http://schemas.openxmlformats.org/officeDocument/2006/relationships/hyperlink" Target="https://optovikufa.ru/product/230315/akkumulyator-svincovo-kislotnyy-12v-12ah-delta-dtm-1212/" TargetMode="External"/><Relationship Id="rId_hyperlink_3478" Type="http://schemas.openxmlformats.org/officeDocument/2006/relationships/hyperlink" Target="https://optovikufa.ru/product/154124/akkumulyator-svincovo-kislotnyy-12v-17ah-delta-dtm-1217-18177167/" TargetMode="External"/><Relationship Id="rId_hyperlink_3479" Type="http://schemas.openxmlformats.org/officeDocument/2006/relationships/hyperlink" Target="https://optovikufa.ru/product/233634/akkumulyator-svincovo-kislotnyy-12v-18ah-delta-dt-1218/" TargetMode="External"/><Relationship Id="rId_hyperlink_3480" Type="http://schemas.openxmlformats.org/officeDocument/2006/relationships/hyperlink" Target="https://optovikufa.ru/product/234892/akkumulyator-svincovo-kislotnyy-12v-72ah-rc-1272-w/" TargetMode="External"/><Relationship Id="rId_hyperlink_3481" Type="http://schemas.openxmlformats.org/officeDocument/2006/relationships/hyperlink" Target="https://optovikufa.ru/product/230370/akkumulyator-svincovo-kislotnyy-12v-9ah-delta-hr-12-9-dlya-ibp/" TargetMode="External"/><Relationship Id="rId_hyperlink_3482" Type="http://schemas.openxmlformats.org/officeDocument/2006/relationships/hyperlink" Target="https://optovikufa.ru/product/223211/akkumulyator-svincovo-kislotnyy-4v-07ah-robiton-vrla4-07-dlya-fonarey/" TargetMode="External"/><Relationship Id="rId_hyperlink_3483" Type="http://schemas.openxmlformats.org/officeDocument/2006/relationships/hyperlink" Target="https://optovikufa.ru/product/151974/akkumulyator-svincovo-kislotnyy-6v-12ah-delta-dt-60126013-972458/" TargetMode="External"/><Relationship Id="rId_hyperlink_3484" Type="http://schemas.openxmlformats.org/officeDocument/2006/relationships/hyperlink" Target="https://optovikufa.ru/product/224105/akkumulyator-svincovo-kislotnyy-6v-28ah-robiton-vrla-6-28/" TargetMode="External"/><Relationship Id="rId_hyperlink_3485" Type="http://schemas.openxmlformats.org/officeDocument/2006/relationships/hyperlink" Target="https://optovikufa.ru/product/230369/akkumulyator-svincovo-kislotnyy-6v-32ah-delta-dtm-6032/" TargetMode="External"/><Relationship Id="rId_hyperlink_3486" Type="http://schemas.openxmlformats.org/officeDocument/2006/relationships/hyperlink" Target="https://optovikufa.ru/product/148129/akkumulyator-svincovo-kislotnyy-6v-33ah-delta-dt-6033125-1253367-106121/" TargetMode="External"/><Relationship Id="rId_hyperlink_3487" Type="http://schemas.openxmlformats.org/officeDocument/2006/relationships/hyperlink" Target="https://optovikufa.ru/product/169111/akkumulyator-svincovo-kislotnyy-6v-72ah-delta-hr-6-72-15134100-97623/" TargetMode="External"/><Relationship Id="rId_hyperlink_3488" Type="http://schemas.openxmlformats.org/officeDocument/2006/relationships/hyperlink" Target="https://optovikufa.ru/product/226025/akkumulyator-svincovo-kislotnyy-6v-7ah-delta-dtm-607/" TargetMode="External"/><Relationship Id="rId_hyperlink_3489" Type="http://schemas.openxmlformats.org/officeDocument/2006/relationships/hyperlink" Target="https://optovikufa.ru/product/170831/batareyka-camelion-lr03-plus-alkaline-pb-24-24-plastikovyy-boks/" TargetMode="External"/><Relationship Id="rId_hyperlink_3490" Type="http://schemas.openxmlformats.org/officeDocument/2006/relationships/hyperlink" Target="https://optovikufa.ru/product/160897/batareyka-camelion-lr03-plus-alkaline-sp-4-60/" TargetMode="External"/><Relationship Id="rId_hyperlink_3491" Type="http://schemas.openxmlformats.org/officeDocument/2006/relationships/hyperlink" Target="https://optovikufa.ru/product/128935/batareyka-camelion-r03-super-heavy-duty-green-sr-4-60/" TargetMode="External"/><Relationship Id="rId_hyperlink_3492" Type="http://schemas.openxmlformats.org/officeDocument/2006/relationships/hyperlink" Target="https://optovikufa.ru/product/243032/batareyka-duracell-lr03-alkaline-basic-bl-12-rst144/" TargetMode="External"/><Relationship Id="rId_hyperlink_3493" Type="http://schemas.openxmlformats.org/officeDocument/2006/relationships/hyperlink" Target="https://optovikufa.ru/product/242278/batareyka-duracell-lr03-alkaline-bl-6-rstotryvnye/" TargetMode="External"/><Relationship Id="rId_hyperlink_3494" Type="http://schemas.openxmlformats.org/officeDocument/2006/relationships/hyperlink" Target="https://optovikufa.ru/product/243031/batareyka-duracell-lr03-alkaline-bl-4-rst-48/" TargetMode="External"/><Relationship Id="rId_hyperlink_3495" Type="http://schemas.openxmlformats.org/officeDocument/2006/relationships/hyperlink" Target="https://optovikufa.ru/product/243237/batareyka-duracell-lr03-alkaline-sp-4-40box-rst/" TargetMode="External"/><Relationship Id="rId_hyperlink_3496" Type="http://schemas.openxmlformats.org/officeDocument/2006/relationships/hyperlink" Target="https://optovikufa.ru/product/122586/batareyka-duracell-lr03-procell-bp-10/" TargetMode="External"/><Relationship Id="rId_hyperlink_3497" Type="http://schemas.openxmlformats.org/officeDocument/2006/relationships/hyperlink" Target="https://optovikufa.ru/product/240003/batareyka-energizer-lr03-alkaline-power-bl-12-otryvnye-120/" TargetMode="External"/><Relationship Id="rId_hyperlink_3498" Type="http://schemas.openxmlformats.org/officeDocument/2006/relationships/hyperlink" Target="https://optovikufa.ru/product/170681/batareyka-energizer-lr03-bl-4-48/" TargetMode="External"/><Relationship Id="rId_hyperlink_3499" Type="http://schemas.openxmlformats.org/officeDocument/2006/relationships/hyperlink" Target="https://optovikufa.ru/product/223569/batareyka-energizer-lr03-max-bl-16-96/" TargetMode="External"/><Relationship Id="rId_hyperlink_3500" Type="http://schemas.openxmlformats.org/officeDocument/2006/relationships/hyperlink" Target="https://optovikufa.ru/product/168313/batareyka-energizer-lr03-max-bl-4-48/" TargetMode="External"/><Relationship Id="rId_hyperlink_3501" Type="http://schemas.openxmlformats.org/officeDocument/2006/relationships/hyperlink" Target="https://optovikufa.ru/product/221791/batareyka-energizer-lr03-max-plus-bl-4-48/" TargetMode="External"/><Relationship Id="rId_hyperlink_3502" Type="http://schemas.openxmlformats.org/officeDocument/2006/relationships/hyperlink" Target="https://optovikufa.ru/product/240002/batareyka-energizer-lr06-max-bl-12-otryvnye/" TargetMode="External"/><Relationship Id="rId_hyperlink_3503" Type="http://schemas.openxmlformats.org/officeDocument/2006/relationships/hyperlink" Target="https://optovikufa.ru/product/177030/batareyka-ergolux-lr03-alkaline-bl-4-40/" TargetMode="External"/><Relationship Id="rId_hyperlink_3504" Type="http://schemas.openxmlformats.org/officeDocument/2006/relationships/hyperlink" Target="https://optovikufa.ru/product/177031/batareyka-ergolux-lr03-alkaline-bp-24/" TargetMode="External"/><Relationship Id="rId_hyperlink_3505" Type="http://schemas.openxmlformats.org/officeDocument/2006/relationships/hyperlink" Target="https://optovikufa.ru/product/235580/batareyka-ergolux-lr03-bp20/" TargetMode="External"/><Relationship Id="rId_hyperlink_3506" Type="http://schemas.openxmlformats.org/officeDocument/2006/relationships/hyperlink" Target="https://optovikufa.ru/product/229514/batareyka-ergolux-lr03-sr-4-60/" TargetMode="External"/><Relationship Id="rId_hyperlink_3507" Type="http://schemas.openxmlformats.org/officeDocument/2006/relationships/hyperlink" Target="https://optovikufa.ru/product/124747/batareyka-ergolux-r03-sr-4-60/" TargetMode="External"/><Relationship Id="rId_hyperlink_3508" Type="http://schemas.openxmlformats.org/officeDocument/2006/relationships/hyperlink" Target="https://optovikufa.ru/product/236614/batareyka-gp-lr03-super-bl-4-31-40/" TargetMode="External"/><Relationship Id="rId_hyperlink_3509" Type="http://schemas.openxmlformats.org/officeDocument/2006/relationships/hyperlink" Target="https://optovikufa.ru/product/170834/batareyka-gp-lr03-super-bl-4-40/" TargetMode="External"/><Relationship Id="rId_hyperlink_3510" Type="http://schemas.openxmlformats.org/officeDocument/2006/relationships/hyperlink" Target="https://optovikufa.ru/product/132821/batareyka-gp-lr03-super-bl5-otryvnye/" TargetMode="External"/><Relationship Id="rId_hyperlink_3511" Type="http://schemas.openxmlformats.org/officeDocument/2006/relationships/hyperlink" Target="https://optovikufa.ru/product/131883/batareyka-gp-lr03-super-sr-4-96/" TargetMode="External"/><Relationship Id="rId_hyperlink_3512" Type="http://schemas.openxmlformats.org/officeDocument/2006/relationships/hyperlink" Target="https://optovikufa.ru/product/177995/batareyka-gp-lr03-ultra-bl-4-40/" TargetMode="External"/><Relationship Id="rId_hyperlink_3513" Type="http://schemas.openxmlformats.org/officeDocument/2006/relationships/hyperlink" Target="https://optovikufa.ru/product/230307/batareyka-gp-lr03-ultra-plus-bl-8-64/" TargetMode="External"/><Relationship Id="rId_hyperlink_3514" Type="http://schemas.openxmlformats.org/officeDocument/2006/relationships/hyperlink" Target="https://optovikufa.ru/product/222573/batareyka-kodak-lr03-xtralife-colour-box-sr-4-60/" TargetMode="External"/><Relationship Id="rId_hyperlink_3515" Type="http://schemas.openxmlformats.org/officeDocument/2006/relationships/hyperlink" Target="https://optovikufa.ru/product/134863/batareyka-kodak-r03-heavy-dute-sr-4-40/" TargetMode="External"/><Relationship Id="rId_hyperlink_3516" Type="http://schemas.openxmlformats.org/officeDocument/2006/relationships/hyperlink" Target="https://optovikufa.ru/product/242775/batareyka-opticell-lr03-basic-bl-12-144/" TargetMode="External"/><Relationship Id="rId_hyperlink_3517" Type="http://schemas.openxmlformats.org/officeDocument/2006/relationships/hyperlink" Target="https://optovikufa.ru/product/145182/batareyka-panasonic-lr03-alkaline-power-sr-4-48/" TargetMode="External"/><Relationship Id="rId_hyperlink_3518" Type="http://schemas.openxmlformats.org/officeDocument/2006/relationships/hyperlink" Target="https://optovikufa.ru/product/234482/batareyka-robiton-lr03-force-bl-4-vysokomoschnyy-48/" TargetMode="External"/><Relationship Id="rId_hyperlink_3519" Type="http://schemas.openxmlformats.org/officeDocument/2006/relationships/hyperlink" Target="https://optovikufa.ru/product/236707/batareyka-robiton-lr03-force-sr-2-vysokomoschnyy-20/" TargetMode="External"/><Relationship Id="rId_hyperlink_3520" Type="http://schemas.openxmlformats.org/officeDocument/2006/relationships/hyperlink" Target="https://optovikufa.ru/product/231260/batareyka-robiton-lr03-standart-bl-10/" TargetMode="External"/><Relationship Id="rId_hyperlink_3521" Type="http://schemas.openxmlformats.org/officeDocument/2006/relationships/hyperlink" Target="https://optovikufa.ru/product/230826/batareyka-robiton-lr03-standart-bl-4-48/" TargetMode="External"/><Relationship Id="rId_hyperlink_3522" Type="http://schemas.openxmlformats.org/officeDocument/2006/relationships/hyperlink" Target="https://optovikufa.ru/product/240540/batareyka-robiton-lr03-standart-bulk20/" TargetMode="External"/><Relationship Id="rId_hyperlink_3523" Type="http://schemas.openxmlformats.org/officeDocument/2006/relationships/hyperlink" Target="https://optovikufa.ru/product/222575/batareyka-robiton-lr03-standart-sr-2-40/" TargetMode="External"/><Relationship Id="rId_hyperlink_3524" Type="http://schemas.openxmlformats.org/officeDocument/2006/relationships/hyperlink" Target="https://optovikufa.ru/product/236708/batareyka-robiton-lr03-standart-sr-3-48/" TargetMode="External"/><Relationship Id="rId_hyperlink_3525" Type="http://schemas.openxmlformats.org/officeDocument/2006/relationships/hyperlink" Target="https://optovikufa.ru/product/230827/batareyka-robiton-lr03-standart-sr-4-40/" TargetMode="External"/><Relationship Id="rId_hyperlink_3526" Type="http://schemas.openxmlformats.org/officeDocument/2006/relationships/hyperlink" Target="https://optovikufa.ru/product/222577/batareyka-robiton-r03-plus-sr-4-60/" TargetMode="External"/><Relationship Id="rId_hyperlink_3527" Type="http://schemas.openxmlformats.org/officeDocument/2006/relationships/hyperlink" Target="https://optovikufa.ru/product/165732/batareyka-samsung-pleomax-lr03-bl-4-economy-40/" TargetMode="External"/><Relationship Id="rId_hyperlink_3528" Type="http://schemas.openxmlformats.org/officeDocument/2006/relationships/hyperlink" Target="https://optovikufa.ru/product/167444/batareyka-samsung-pleomax-lr03-sr-4-economy-48/" TargetMode="External"/><Relationship Id="rId_hyperlink_3529" Type="http://schemas.openxmlformats.org/officeDocument/2006/relationships/hyperlink" Target="https://optovikufa.ru/product/222097/batareyka-smartbuy-lr03-40-bulk-sbba-3a40s/" TargetMode="External"/><Relationship Id="rId_hyperlink_3530" Type="http://schemas.openxmlformats.org/officeDocument/2006/relationships/hyperlink" Target="https://optovikufa.ru/product/167978/batareyka-smartbuy-lr03-bl-5-strip-60/" TargetMode="External"/><Relationship Id="rId_hyperlink_3531" Type="http://schemas.openxmlformats.org/officeDocument/2006/relationships/hyperlink" Target="https://optovikufa.ru/product/149890/batareyka-smartbuy-one-lr03-40-bulk-soba-3a40s-eco/" TargetMode="External"/><Relationship Id="rId_hyperlink_3532" Type="http://schemas.openxmlformats.org/officeDocument/2006/relationships/hyperlink" Target="https://optovikufa.ru/product/216983/batareyka-smartbuy-one-r03-sr-4-60/" TargetMode="External"/><Relationship Id="rId_hyperlink_3533" Type="http://schemas.openxmlformats.org/officeDocument/2006/relationships/hyperlink" Target="https://optovikufa.ru/product/129732/batareyka-smartbuy-r03-sr-4-60/" TargetMode="External"/><Relationship Id="rId_hyperlink_3534" Type="http://schemas.openxmlformats.org/officeDocument/2006/relationships/hyperlink" Target="https://optovikufa.ru/product/171957/batareyka-varta-lr03-energy-bl-10/" TargetMode="External"/><Relationship Id="rId_hyperlink_3535" Type="http://schemas.openxmlformats.org/officeDocument/2006/relationships/hyperlink" Target="https://optovikufa.ru/product/124199/batareyka-varta-lr03-energy-bl-4-40/" TargetMode="External"/><Relationship Id="rId_hyperlink_3536" Type="http://schemas.openxmlformats.org/officeDocument/2006/relationships/hyperlink" Target="https://optovikufa.ru/product/242925/batareyka-varta-lr03-longlife-bl-10/" TargetMode="External"/><Relationship Id="rId_hyperlink_3537" Type="http://schemas.openxmlformats.org/officeDocument/2006/relationships/hyperlink" Target="https://optovikufa.ru/product/228669/batareyka-varta-lr03-longlife-bl-4/" TargetMode="External"/><Relationship Id="rId_hyperlink_3538" Type="http://schemas.openxmlformats.org/officeDocument/2006/relationships/hyperlink" Target="https://optovikufa.ru/product/128933/batareyka-camelion-lr06-plus-alkaline-pb-24-24-plastikovyy-boks/" TargetMode="External"/><Relationship Id="rId_hyperlink_3539" Type="http://schemas.openxmlformats.org/officeDocument/2006/relationships/hyperlink" Target="https://optovikufa.ru/product/160896/batareyka-camelion-lr06-plus-alkaline-sp-4-60/" TargetMode="External"/><Relationship Id="rId_hyperlink_3540" Type="http://schemas.openxmlformats.org/officeDocument/2006/relationships/hyperlink" Target="https://optovikufa.ru/product/128936/batareyka-camelion-r6-super-heavy-duty-green-sr-4-60/" TargetMode="External"/><Relationship Id="rId_hyperlink_3541" Type="http://schemas.openxmlformats.org/officeDocument/2006/relationships/hyperlink" Target="https://optovikufa.ru/product/243235/batareyka-duracell-lr06-alkaline-bl-12-rst/" TargetMode="External"/><Relationship Id="rId_hyperlink_3542" Type="http://schemas.openxmlformats.org/officeDocument/2006/relationships/hyperlink" Target="https://optovikufa.ru/product/243030/batareyka-duracell-lr06-alkaline-bl-4-rst-48/" TargetMode="External"/><Relationship Id="rId_hyperlink_3543" Type="http://schemas.openxmlformats.org/officeDocument/2006/relationships/hyperlink" Target="https://optovikufa.ru/product/243234/batareyka-duracell-lr06-alkaline-bl-6-rst-otryvnye/" TargetMode="External"/><Relationship Id="rId_hyperlink_3544" Type="http://schemas.openxmlformats.org/officeDocument/2006/relationships/hyperlink" Target="https://optovikufa.ru/product/243236/batareyka-duracell-lr06-alkaline-sp-4-40box-rst/" TargetMode="External"/><Relationship Id="rId_hyperlink_3545" Type="http://schemas.openxmlformats.org/officeDocument/2006/relationships/hyperlink" Target="https://optovikufa.ru/product/170369/batareyka-energizer-lr06-bl-4-96/" TargetMode="External"/><Relationship Id="rId_hyperlink_3546" Type="http://schemas.openxmlformats.org/officeDocument/2006/relationships/hyperlink" Target="https://optovikufa.ru/product/235581/batareyka-ergolux-lr6-bp20/" TargetMode="External"/><Relationship Id="rId_hyperlink_3547" Type="http://schemas.openxmlformats.org/officeDocument/2006/relationships/hyperlink" Target="https://optovikufa.ru/product/124748/batareyka-ergolux-r06-sr-4-60/" TargetMode="External"/><Relationship Id="rId_hyperlink_3548" Type="http://schemas.openxmlformats.org/officeDocument/2006/relationships/hyperlink" Target="https://optovikufa.ru/product/124377/batareyka-gp-lr06-super-bl-4-40/" TargetMode="External"/><Relationship Id="rId_hyperlink_3549" Type="http://schemas.openxmlformats.org/officeDocument/2006/relationships/hyperlink" Target="https://optovikufa.ru/product/151746/batareyka-gp-lr06-super-bl5-otryvnye/" TargetMode="External"/><Relationship Id="rId_hyperlink_3550" Type="http://schemas.openxmlformats.org/officeDocument/2006/relationships/hyperlink" Target="https://optovikufa.ru/product/141441/batareyka-gp-lr06-super-sr-4-96/" TargetMode="External"/><Relationship Id="rId_hyperlink_3551" Type="http://schemas.openxmlformats.org/officeDocument/2006/relationships/hyperlink" Target="https://optovikufa.ru/product/239128/batareyka-gp-lr06-ultra-podari-zhizn-bl-4-40/" TargetMode="External"/><Relationship Id="rId_hyperlink_3552" Type="http://schemas.openxmlformats.org/officeDocument/2006/relationships/hyperlink" Target="https://optovikufa.ru/product/178040/batareyka-gp-lr06-ultra-bl-4-40/" TargetMode="External"/><Relationship Id="rId_hyperlink_3553" Type="http://schemas.openxmlformats.org/officeDocument/2006/relationships/hyperlink" Target="https://optovikufa.ru/product/242180/batareyka-gp-lr06-ultra-plus-bl-8-64/" TargetMode="External"/><Relationship Id="rId_hyperlink_3554" Type="http://schemas.openxmlformats.org/officeDocument/2006/relationships/hyperlink" Target="https://optovikufa.ru/product/143713/batareyka-kodak-lr06-max-bl-24/" TargetMode="External"/><Relationship Id="rId_hyperlink_3555" Type="http://schemas.openxmlformats.org/officeDocument/2006/relationships/hyperlink" Target="https://optovikufa.ru/product/223578/batareyka-kodak-lr06-xtralife-box60-60/" TargetMode="External"/><Relationship Id="rId_hyperlink_3556" Type="http://schemas.openxmlformats.org/officeDocument/2006/relationships/hyperlink" Target="https://optovikufa.ru/product/219387/batareyka-kodak-lr06-xtralife-sr-4-60/" TargetMode="External"/><Relationship Id="rId_hyperlink_3557" Type="http://schemas.openxmlformats.org/officeDocument/2006/relationships/hyperlink" Target="https://optovikufa.ru/product/170824/batareyka-kodak-r06-heavy-dute-sr-4-24/" TargetMode="External"/><Relationship Id="rId_hyperlink_3558" Type="http://schemas.openxmlformats.org/officeDocument/2006/relationships/hyperlink" Target="https://optovikufa.ru/product/242773/batareyka-opticell-lr06-basic-bl-12-144/" TargetMode="External"/><Relationship Id="rId_hyperlink_3559" Type="http://schemas.openxmlformats.org/officeDocument/2006/relationships/hyperlink" Target="https://optovikufa.ru/product/134560/batareyka-panasonic-lr06-alkaline-power-sr-4-48/" TargetMode="External"/><Relationship Id="rId_hyperlink_3560" Type="http://schemas.openxmlformats.org/officeDocument/2006/relationships/hyperlink" Target="https://optovikufa.ru/product/241627/batareyka-robiton-fr06-lithium-winner-vysokotokovye-rabotayut-pri-nizkih-tempiraturah-bl-2/" TargetMode="External"/><Relationship Id="rId_hyperlink_3561" Type="http://schemas.openxmlformats.org/officeDocument/2006/relationships/hyperlink" Target="https://optovikufa.ru/product/234483/batareyka-robiton-lr06-force-bl-4-vysokomoschnyy-48/" TargetMode="External"/><Relationship Id="rId_hyperlink_3562" Type="http://schemas.openxmlformats.org/officeDocument/2006/relationships/hyperlink" Target="https://optovikufa.ru/product/230828/batareyka-robiton-lr06-standart-bl-4-48/" TargetMode="External"/><Relationship Id="rId_hyperlink_3563" Type="http://schemas.openxmlformats.org/officeDocument/2006/relationships/hyperlink" Target="https://optovikufa.ru/product/240541/batareyka-robiton-lr06-standart-bulk20/" TargetMode="External"/><Relationship Id="rId_hyperlink_3564" Type="http://schemas.openxmlformats.org/officeDocument/2006/relationships/hyperlink" Target="https://optovikufa.ru/product/236709/batareyka-robiton-lr06-standart-sr-2-40/" TargetMode="External"/><Relationship Id="rId_hyperlink_3565" Type="http://schemas.openxmlformats.org/officeDocument/2006/relationships/hyperlink" Target="https://optovikufa.ru/product/230829/batareyka-robiton-lr06-standart-sr-4-40/" TargetMode="External"/><Relationship Id="rId_hyperlink_3566" Type="http://schemas.openxmlformats.org/officeDocument/2006/relationships/hyperlink" Target="https://optovikufa.ru/product/222578/batareyka-robiton-r06-plus-sr-4-60/" TargetMode="External"/><Relationship Id="rId_hyperlink_3567" Type="http://schemas.openxmlformats.org/officeDocument/2006/relationships/hyperlink" Target="https://optovikufa.ru/product/165733/batareyka-samsung-pleomax-lr06-bl-4-economy-40/" TargetMode="External"/><Relationship Id="rId_hyperlink_3568" Type="http://schemas.openxmlformats.org/officeDocument/2006/relationships/hyperlink" Target="https://optovikufa.ru/product/171956/batareyka-samsung-pleomax-lr06-sr-4-economy-24/" TargetMode="External"/><Relationship Id="rId_hyperlink_3569" Type="http://schemas.openxmlformats.org/officeDocument/2006/relationships/hyperlink" Target="https://optovikufa.ru/product/222087/batareyka-smartbuy-lr06-40-bulk-720-sbba-2a40s/" TargetMode="External"/><Relationship Id="rId_hyperlink_3570" Type="http://schemas.openxmlformats.org/officeDocument/2006/relationships/hyperlink" Target="https://optovikufa.ru/product/222675/batareyka-smartbuy-lr06-bl-4/" TargetMode="External"/><Relationship Id="rId_hyperlink_3571" Type="http://schemas.openxmlformats.org/officeDocument/2006/relationships/hyperlink" Target="https://optovikufa.ru/product/167979/batareyka-smartbuy-lr06-bl-5-strip-60/" TargetMode="External"/><Relationship Id="rId_hyperlink_3572" Type="http://schemas.openxmlformats.org/officeDocument/2006/relationships/hyperlink" Target="https://optovikufa.ru/product/158574/batareyka-smartbuy-one-lr06-sr-10-card/" TargetMode="External"/><Relationship Id="rId_hyperlink_3573" Type="http://schemas.openxmlformats.org/officeDocument/2006/relationships/hyperlink" Target="https://optovikufa.ru/product/216982/batareyka-smartbuy-one-r06-sr-4-60-eco/" TargetMode="External"/><Relationship Id="rId_hyperlink_3574" Type="http://schemas.openxmlformats.org/officeDocument/2006/relationships/hyperlink" Target="https://optovikufa.ru/product/137885/batareyka-smartbuy-r06-sr-4-60/" TargetMode="External"/><Relationship Id="rId_hyperlink_3575" Type="http://schemas.openxmlformats.org/officeDocument/2006/relationships/hyperlink" Target="https://optovikufa.ru/product/171984/batareyka-varta-lr06-energy-bl-10/" TargetMode="External"/><Relationship Id="rId_hyperlink_3576" Type="http://schemas.openxmlformats.org/officeDocument/2006/relationships/hyperlink" Target="https://optovikufa.ru/product/132824/batareyka-varta-lr06-energy-bl-4-80/" TargetMode="External"/><Relationship Id="rId_hyperlink_3577" Type="http://schemas.openxmlformats.org/officeDocument/2006/relationships/hyperlink" Target="https://optovikufa.ru/product/242926/batareyka-varta-lr06-longlife-bl-10/" TargetMode="External"/><Relationship Id="rId_hyperlink_3578" Type="http://schemas.openxmlformats.org/officeDocument/2006/relationships/hyperlink" Target="https://optovikufa.ru/product/233987/batareyka-ansmann-extreme-lithium-er9v-cr-v9-ot-40c-do-60c-bl-1/" TargetMode="External"/><Relationship Id="rId_hyperlink_3579" Type="http://schemas.openxmlformats.org/officeDocument/2006/relationships/hyperlink" Target="https://optovikufa.ru/product/140594/batareyka-camelion-3lr12-plus-alkaline-bl1-45v-kvadrat-6/" TargetMode="External"/><Relationship Id="rId_hyperlink_3580" Type="http://schemas.openxmlformats.org/officeDocument/2006/relationships/hyperlink" Target="https://optovikufa.ru/product/122554/batareyka-camelion-3r12-super-heavy-duty-green-sr-1-kvadrat-12/" TargetMode="External"/><Relationship Id="rId_hyperlink_3581" Type="http://schemas.openxmlformats.org/officeDocument/2006/relationships/hyperlink" Target="https://optovikufa.ru/product/122565/batareyka-camelion-6lf226lr61-plus-alkaline-bl-1-krona-12/" TargetMode="External"/><Relationship Id="rId_hyperlink_3582" Type="http://schemas.openxmlformats.org/officeDocument/2006/relationships/hyperlink" Target="https://optovikufa.ru/product/124746/batareyka-ergolux-6f22-krona-sr-1-12/" TargetMode="External"/><Relationship Id="rId_hyperlink_3583" Type="http://schemas.openxmlformats.org/officeDocument/2006/relationships/hyperlink" Target="https://optovikufa.ru/product/225690/batareyka-ergolux-6lr61-krona-bl-1-12/" TargetMode="External"/><Relationship Id="rId_hyperlink_3584" Type="http://schemas.openxmlformats.org/officeDocument/2006/relationships/hyperlink" Target="https://optovikufa.ru/product/221279/batareyka-gp-6f22-blue-sr-1-10-krona/" TargetMode="External"/><Relationship Id="rId_hyperlink_3585" Type="http://schemas.openxmlformats.org/officeDocument/2006/relationships/hyperlink" Target="https://optovikufa.ru/product/170836/batareyka-gp-6f22-sr-1-10-krona/" TargetMode="External"/><Relationship Id="rId_hyperlink_3586" Type="http://schemas.openxmlformats.org/officeDocument/2006/relationships/hyperlink" Target="https://optovikufa.ru/product/237958/batareyka-robiton-3r12-sr-1-6/" TargetMode="External"/><Relationship Id="rId_hyperlink_3587" Type="http://schemas.openxmlformats.org/officeDocument/2006/relationships/hyperlink" Target="https://optovikufa.ru/product/230832/batareyka-robiton-6f22-sr-1-krona-10/" TargetMode="External"/><Relationship Id="rId_hyperlink_3588" Type="http://schemas.openxmlformats.org/officeDocument/2006/relationships/hyperlink" Target="https://optovikufa.ru/product/231823/batareyka-robiton-6lr61-alkaline-bulk10-krona/" TargetMode="External"/><Relationship Id="rId_hyperlink_3589" Type="http://schemas.openxmlformats.org/officeDocument/2006/relationships/hyperlink" Target="https://optovikufa.ru/product/134780/batareyka-samsung-pleomax-6f22-sr-1-krona-10/" TargetMode="External"/><Relationship Id="rId_hyperlink_3590" Type="http://schemas.openxmlformats.org/officeDocument/2006/relationships/hyperlink" Target="https://optovikufa.ru/product/127609/batareyka-smartbuy-3r12-sr-1-kvadrat/" TargetMode="External"/><Relationship Id="rId_hyperlink_3591" Type="http://schemas.openxmlformats.org/officeDocument/2006/relationships/hyperlink" Target="https://optovikufa.ru/product/126462/batareyka-smartbuy-6f221s-10/" TargetMode="External"/><Relationship Id="rId_hyperlink_3592" Type="http://schemas.openxmlformats.org/officeDocument/2006/relationships/hyperlink" Target="https://optovikufa.ru/product/152077/batareyka-smartbuy-6lr611b-12/" TargetMode="External"/><Relationship Id="rId_hyperlink_3593" Type="http://schemas.openxmlformats.org/officeDocument/2006/relationships/hyperlink" Target="https://optovikufa.ru/product/221917/batareyka-varta-6lr61-energy-4122-bl110/" TargetMode="External"/><Relationship Id="rId_hyperlink_3594" Type="http://schemas.openxmlformats.org/officeDocument/2006/relationships/hyperlink" Target="https://optovikufa.ru/product/131783/batareyka-camelion-a23-bl-1-20/" TargetMode="External"/><Relationship Id="rId_hyperlink_3595" Type="http://schemas.openxmlformats.org/officeDocument/2006/relationships/hyperlink" Target="https://optovikufa.ru/product/166887/batareyka-camelion-a23-bl-5-mercury-free/" TargetMode="External"/><Relationship Id="rId_hyperlink_3596" Type="http://schemas.openxmlformats.org/officeDocument/2006/relationships/hyperlink" Target="https://optovikufa.ru/product/145902/batareyka-camelion-a27-bl-1-mercury-free/" TargetMode="External"/><Relationship Id="rId_hyperlink_3597" Type="http://schemas.openxmlformats.org/officeDocument/2006/relationships/hyperlink" Target="https://optovikufa.ru/product/167720/batareyka-camelion-a27-bl-5-mercury-free/" TargetMode="External"/><Relationship Id="rId_hyperlink_3598" Type="http://schemas.openxmlformats.org/officeDocument/2006/relationships/hyperlink" Target="https://optovikufa.ru/product/122552/batareyka-camelion-lr01-bl-2-mn9100/" TargetMode="External"/><Relationship Id="rId_hyperlink_3599" Type="http://schemas.openxmlformats.org/officeDocument/2006/relationships/hyperlink" Target="https://optovikufa.ru/product/148573/batareyka-duracell-cr123-ultra-photo-bl-1/" TargetMode="External"/><Relationship Id="rId_hyperlink_3600" Type="http://schemas.openxmlformats.org/officeDocument/2006/relationships/hyperlink" Target="https://optovikufa.ru/product/141227/batareyka-duracell-cr2-bl-1/" TargetMode="External"/><Relationship Id="rId_hyperlink_3601" Type="http://schemas.openxmlformats.org/officeDocument/2006/relationships/hyperlink" Target="https://optovikufa.ru/product/134756/batareyka-duracell-a27-alkaline-bl-1-10/" TargetMode="External"/><Relationship Id="rId_hyperlink_3602" Type="http://schemas.openxmlformats.org/officeDocument/2006/relationships/hyperlink" Target="https://optovikufa.ru/product/191141/batareyka-gp-a23-bl-5/" TargetMode="External"/><Relationship Id="rId_hyperlink_3603" Type="http://schemas.openxmlformats.org/officeDocument/2006/relationships/hyperlink" Target="https://optovikufa.ru/product/133001/batareyka-gp-a27-bl-5/" TargetMode="External"/><Relationship Id="rId_hyperlink_3604" Type="http://schemas.openxmlformats.org/officeDocument/2006/relationships/hyperlink" Target="https://optovikufa.ru/product/231277/batareyka-robiton-a23-bl-5/" TargetMode="External"/><Relationship Id="rId_hyperlink_3605" Type="http://schemas.openxmlformats.org/officeDocument/2006/relationships/hyperlink" Target="https://optovikufa.ru/product/231278/batareyka-robiton-a27-bl-5/" TargetMode="External"/><Relationship Id="rId_hyperlink_3606" Type="http://schemas.openxmlformats.org/officeDocument/2006/relationships/hyperlink" Target="https://optovikufa.ru/product/231287/batareyka-robiton-profi-cr123a-3v-sr-2/" TargetMode="External"/><Relationship Id="rId_hyperlink_3607" Type="http://schemas.openxmlformats.org/officeDocument/2006/relationships/hyperlink" Target="https://optovikufa.ru/product/232838/batareyka-robiton-profi-cr2-bl-1/" TargetMode="External"/><Relationship Id="rId_hyperlink_3608" Type="http://schemas.openxmlformats.org/officeDocument/2006/relationships/hyperlink" Target="https://optovikufa.ru/product/234487/batareyka-robiton-standart-lr1-bl-5/" TargetMode="External"/><Relationship Id="rId_hyperlink_3609" Type="http://schemas.openxmlformats.org/officeDocument/2006/relationships/hyperlink" Target="https://optovikufa.ru/product/147644/batareyka-smartbuy-a27-bl-5/" TargetMode="External"/><Relationship Id="rId_hyperlink_3610" Type="http://schemas.openxmlformats.org/officeDocument/2006/relationships/hyperlink" Target="https://optovikufa.ru/product/222600/batareyka-smartbuy-cr123a-bl-1/" TargetMode="External"/><Relationship Id="rId_hyperlink_3611" Type="http://schemas.openxmlformats.org/officeDocument/2006/relationships/hyperlink" Target="https://optovikufa.ru/product/219095/batareyka-smartbuy-cr21b-sbbl-2-1b-bl-1/" TargetMode="External"/><Relationship Id="rId_hyperlink_3612" Type="http://schemas.openxmlformats.org/officeDocument/2006/relationships/hyperlink" Target="https://optovikufa.ru/product/226529/batareyka-varta-a27-bl-1/" TargetMode="External"/><Relationship Id="rId_hyperlink_3613" Type="http://schemas.openxmlformats.org/officeDocument/2006/relationships/hyperlink" Target="https://optovikufa.ru/product/225004/batareyka-varta-cr123a-bl-1/" TargetMode="External"/><Relationship Id="rId_hyperlink_3614" Type="http://schemas.openxmlformats.org/officeDocument/2006/relationships/hyperlink" Target="https://optovikufa.ru/product/134783/batareyka-camelion-lr14-alkaline-bl-2-12/" TargetMode="External"/><Relationship Id="rId_hyperlink_3615" Type="http://schemas.openxmlformats.org/officeDocument/2006/relationships/hyperlink" Target="https://optovikufa.ru/product/134785/batareyka-camelion-r14-super-heavy-duty-green-sr-2-12/" TargetMode="External"/><Relationship Id="rId_hyperlink_3616" Type="http://schemas.openxmlformats.org/officeDocument/2006/relationships/hyperlink" Target="https://optovikufa.ru/product/148566/batareyka-duracell-lr14-alkaline-bl-2-20/" TargetMode="External"/><Relationship Id="rId_hyperlink_3617" Type="http://schemas.openxmlformats.org/officeDocument/2006/relationships/hyperlink" Target="https://optovikufa.ru/product/177066/batareyka-energizer-lr14-max-bl-2-12/" TargetMode="External"/><Relationship Id="rId_hyperlink_3618" Type="http://schemas.openxmlformats.org/officeDocument/2006/relationships/hyperlink" Target="https://optovikufa.ru/product/229516/batareyka-ergolux-r14-sr-2-12/" TargetMode="External"/><Relationship Id="rId_hyperlink_3619" Type="http://schemas.openxmlformats.org/officeDocument/2006/relationships/hyperlink" Target="https://optovikufa.ru/product/134774/batareyka-gp-r14-sr-2-24/" TargetMode="External"/><Relationship Id="rId_hyperlink_3620" Type="http://schemas.openxmlformats.org/officeDocument/2006/relationships/hyperlink" Target="https://optovikufa.ru/product/170825/batareyka-kodak-r14-sr-2-24/" TargetMode="External"/><Relationship Id="rId_hyperlink_3621" Type="http://schemas.openxmlformats.org/officeDocument/2006/relationships/hyperlink" Target="https://optovikufa.ru/product/171021/batareyka-panasonic-r14-bl-2/" TargetMode="External"/><Relationship Id="rId_hyperlink_3622" Type="http://schemas.openxmlformats.org/officeDocument/2006/relationships/hyperlink" Target="https://optovikufa.ru/product/231821/batareyka-robiton-lr14-alkaline-sr-2/" TargetMode="External"/><Relationship Id="rId_hyperlink_3623" Type="http://schemas.openxmlformats.org/officeDocument/2006/relationships/hyperlink" Target="https://optovikufa.ru/product/224259/batareyka-robiton-r14-sr-2/" TargetMode="External"/><Relationship Id="rId_hyperlink_3624" Type="http://schemas.openxmlformats.org/officeDocument/2006/relationships/hyperlink" Target="https://optovikufa.ru/product/151583/batareyka-smartbuy-lr14-bl-2-12/" TargetMode="External"/><Relationship Id="rId_hyperlink_3625" Type="http://schemas.openxmlformats.org/officeDocument/2006/relationships/hyperlink" Target="https://optovikufa.ru/product/138060/batareyka-smartbuy-r14-sr-2-24/" TargetMode="External"/><Relationship Id="rId_hyperlink_3626" Type="http://schemas.openxmlformats.org/officeDocument/2006/relationships/hyperlink" Target="https://optovikufa.ru/product/134787/batareyka-varta-r14-superlife-bl-2/" TargetMode="External"/><Relationship Id="rId_hyperlink_3627" Type="http://schemas.openxmlformats.org/officeDocument/2006/relationships/hyperlink" Target="https://optovikufa.ru/product/171019/batareyka-camelion-lr20-plus-alkaline-bl-2-12/" TargetMode="External"/><Relationship Id="rId_hyperlink_3628" Type="http://schemas.openxmlformats.org/officeDocument/2006/relationships/hyperlink" Target="https://optovikufa.ru/product/128937/batareyka-camelion-r20-super-heavy-duty-black-sr-2-12/" TargetMode="External"/><Relationship Id="rId_hyperlink_3629" Type="http://schemas.openxmlformats.org/officeDocument/2006/relationships/hyperlink" Target="https://optovikufa.ru/product/124749/batareyka-ergolux-r20-sr-2-12/" TargetMode="External"/><Relationship Id="rId_hyperlink_3630" Type="http://schemas.openxmlformats.org/officeDocument/2006/relationships/hyperlink" Target="https://optovikufa.ru/product/178665/batareyka-gp-lr20-super-bl-2-20/" TargetMode="External"/><Relationship Id="rId_hyperlink_3631" Type="http://schemas.openxmlformats.org/officeDocument/2006/relationships/hyperlink" Target="https://optovikufa.ru/product/177997/batareyka-gp-r20-sr-2-blue-20/" TargetMode="External"/><Relationship Id="rId_hyperlink_3632" Type="http://schemas.openxmlformats.org/officeDocument/2006/relationships/hyperlink" Target="https://optovikufa.ru/product/134862/batareyka-kodak-lr20-max-bl-2/" TargetMode="External"/><Relationship Id="rId_hyperlink_3633" Type="http://schemas.openxmlformats.org/officeDocument/2006/relationships/hyperlink" Target="https://optovikufa.ru/product/148575/batareyka-kodak-r20-sr-2-24/" TargetMode="External"/><Relationship Id="rId_hyperlink_3634" Type="http://schemas.openxmlformats.org/officeDocument/2006/relationships/hyperlink" Target="https://optovikufa.ru/product/171020/batareyka-panasonic-r20-zinc-carbon-bl-2/" TargetMode="External"/><Relationship Id="rId_hyperlink_3635" Type="http://schemas.openxmlformats.org/officeDocument/2006/relationships/hyperlink" Target="https://optovikufa.ru/product/230830/batareyka-robiton-lr20-alkaline-sr-2-12/" TargetMode="External"/><Relationship Id="rId_hyperlink_3636" Type="http://schemas.openxmlformats.org/officeDocument/2006/relationships/hyperlink" Target="https://optovikufa.ru/product/224260/batareyka-robiton-r20-sr-2/" TargetMode="External"/><Relationship Id="rId_hyperlink_3637" Type="http://schemas.openxmlformats.org/officeDocument/2006/relationships/hyperlink" Target="https://optovikufa.ru/product/134868/batareyka-samsung-pleomax-r20-sr-2-24/" TargetMode="External"/><Relationship Id="rId_hyperlink_3638" Type="http://schemas.openxmlformats.org/officeDocument/2006/relationships/hyperlink" Target="https://optovikufa.ru/product/184076/batareyka-smartbuy-lr20-bl-2-12/" TargetMode="External"/><Relationship Id="rId_hyperlink_3639" Type="http://schemas.openxmlformats.org/officeDocument/2006/relationships/hyperlink" Target="https://optovikufa.ru/product/149130/batareyka-smartbuy-r20-bl-2-12/" TargetMode="External"/><Relationship Id="rId_hyperlink_3640" Type="http://schemas.openxmlformats.org/officeDocument/2006/relationships/hyperlink" Target="https://optovikufa.ru/product/138147/batareyka-smartbuy-r20-sr-2-24/" TargetMode="External"/><Relationship Id="rId_hyperlink_3641" Type="http://schemas.openxmlformats.org/officeDocument/2006/relationships/hyperlink" Target="https://optovikufa.ru/product/223463/batareyka-varta-lr20-energybl-2/" TargetMode="External"/><Relationship Id="rId_hyperlink_3642" Type="http://schemas.openxmlformats.org/officeDocument/2006/relationships/hyperlink" Target="https://optovikufa.ru/product/236607/batareyka-varta-lr20-longlife-bl-2/" TargetMode="External"/><Relationship Id="rId_hyperlink_3643" Type="http://schemas.openxmlformats.org/officeDocument/2006/relationships/hyperlink" Target="https://optovikufa.ru/product/178208/batareyka-camelion-za10-zincair-mercury-free-dlya-sluhovyh-apparatov-14v-bl-6-60/" TargetMode="External"/><Relationship Id="rId_hyperlink_3644" Type="http://schemas.openxmlformats.org/officeDocument/2006/relationships/hyperlink" Target="https://optovikufa.ru/product/178207/batareyka-camelion-za13-zincair-mercury-free-dlya-sluhovyh-apparatov-14v-bl-6-60/" TargetMode="External"/><Relationship Id="rId_hyperlink_3645" Type="http://schemas.openxmlformats.org/officeDocument/2006/relationships/hyperlink" Target="https://optovikufa.ru/product/178209/batareyka-camelion-za312-zincair-mercury-free-dlya-sluhovyh-apparatov-14v-bl-6-60/" TargetMode="External"/><Relationship Id="rId_hyperlink_3646" Type="http://schemas.openxmlformats.org/officeDocument/2006/relationships/hyperlink" Target="https://optovikufa.ru/product/178210/batareyka-camelion-za675-zincair-mercury-free-dlya-sluhovyh-apparatov-14v-bl-6-60/" TargetMode="External"/><Relationship Id="rId_hyperlink_3647" Type="http://schemas.openxmlformats.org/officeDocument/2006/relationships/hyperlink" Target="https://optovikufa.ru/product/220560/batareyka-duracell-za312-bl6-zinc-air-145v-de-660600-dlya-sluhovyh-apparatov/" TargetMode="External"/><Relationship Id="rId_hyperlink_3648" Type="http://schemas.openxmlformats.org/officeDocument/2006/relationships/hyperlink" Target="https://optovikufa.ru/product/220569/batareyka-gp-za10-dlya-sluhovyh-apparatov-bl-6/" TargetMode="External"/><Relationship Id="rId_hyperlink_3649" Type="http://schemas.openxmlformats.org/officeDocument/2006/relationships/hyperlink" Target="https://optovikufa.ru/product/226520/batareyka-gp-za312-dlya-sluhovyh-apparatov-bl-6/" TargetMode="External"/><Relationship Id="rId_hyperlink_3650" Type="http://schemas.openxmlformats.org/officeDocument/2006/relationships/hyperlink" Target="https://optovikufa.ru/product/225692/batareyka-gp-za675-dlya-sluhovyh-apparatov-bl-6/" TargetMode="External"/><Relationship Id="rId_hyperlink_3651" Type="http://schemas.openxmlformats.org/officeDocument/2006/relationships/hyperlink" Target="https://optovikufa.ru/product/130421/batareyka-renata-maratone-za10-zincair-dlya-sluhovyh-apparatov-14v-bl-6/" TargetMode="External"/><Relationship Id="rId_hyperlink_3652" Type="http://schemas.openxmlformats.org/officeDocument/2006/relationships/hyperlink" Target="https://optovikufa.ru/product/228058/batareyka-renata-maratone-za13-zincair-dlya-sluhovyh-apparatov-14v-bl-6/" TargetMode="External"/><Relationship Id="rId_hyperlink_3653" Type="http://schemas.openxmlformats.org/officeDocument/2006/relationships/hyperlink" Target="https://optovikufa.ru/product/130422/batareyka-renata-maratone-za312-zincair-dlya-sluhovyh-apparatov-14v-bl-6/" TargetMode="External"/><Relationship Id="rId_hyperlink_3654" Type="http://schemas.openxmlformats.org/officeDocument/2006/relationships/hyperlink" Target="https://optovikufa.ru/product/228059/batareyka-renata-maratone-za675-zincair-dlya-sluhovyh-apparatov-14v-bl-6/" TargetMode="External"/><Relationship Id="rId_hyperlink_3655" Type="http://schemas.openxmlformats.org/officeDocument/2006/relationships/hyperlink" Target="https://optovikufa.ru/product/232835/batareyka-robiton-za10-dlya-sluhovyh-apparatov-bl-6/" TargetMode="External"/><Relationship Id="rId_hyperlink_3656" Type="http://schemas.openxmlformats.org/officeDocument/2006/relationships/hyperlink" Target="https://optovikufa.ru/product/232836/batareyka-robiton-za312-dlya-sluhovyh-apparatov-bl-6/" TargetMode="External"/><Relationship Id="rId_hyperlink_3657" Type="http://schemas.openxmlformats.org/officeDocument/2006/relationships/hyperlink" Target="https://optovikufa.ru/product/232837/batareyka-robiton-za675-dlya-sluhovyh-apparatov-bl-6/" TargetMode="External"/><Relationship Id="rId_hyperlink_3658" Type="http://schemas.openxmlformats.org/officeDocument/2006/relationships/hyperlink" Target="https://optovikufa.ru/product/222125/batareyka-smartbuy-a10-dlya-sluhovyh-apparatov-bl-6/" TargetMode="External"/><Relationship Id="rId_hyperlink_3659" Type="http://schemas.openxmlformats.org/officeDocument/2006/relationships/hyperlink" Target="https://optovikufa.ru/product/222126/batareyka-smartbuy-a13-dlya-sluhovyh-apparatov-bl-6-sbza-a13-6b/" TargetMode="External"/><Relationship Id="rId_hyperlink_3660" Type="http://schemas.openxmlformats.org/officeDocument/2006/relationships/hyperlink" Target="https://optovikufa.ru/product/222127/batareyka-smartbuy-a312-dlya-sluhovyh-apparatov-bl-6/" TargetMode="External"/><Relationship Id="rId_hyperlink_3661" Type="http://schemas.openxmlformats.org/officeDocument/2006/relationships/hyperlink" Target="https://optovikufa.ru/product/225431/batareyka-smartbuy-a675-dlya-sluhovyh-apparatov-bl-6/" TargetMode="External"/><Relationship Id="rId_hyperlink_3662" Type="http://schemas.openxmlformats.org/officeDocument/2006/relationships/hyperlink" Target="https://optovikufa.ru/product/128609/batareyka-camelion-cr1025-premium-lithium-bl-1/" TargetMode="External"/><Relationship Id="rId_hyperlink_3663" Type="http://schemas.openxmlformats.org/officeDocument/2006/relationships/hyperlink" Target="https://optovikufa.ru/product/136789/batareyka-camelion-cr1216-bl-1/" TargetMode="External"/><Relationship Id="rId_hyperlink_3664" Type="http://schemas.openxmlformats.org/officeDocument/2006/relationships/hyperlink" Target="https://optovikufa.ru/product/128610/batareyka-camelion-cr1225-premium-lithium-bl-1/" TargetMode="External"/><Relationship Id="rId_hyperlink_3665" Type="http://schemas.openxmlformats.org/officeDocument/2006/relationships/hyperlink" Target="https://optovikufa.ru/product/128608/batareyka-camelion-cr1616-bl-1/" TargetMode="External"/><Relationship Id="rId_hyperlink_3666" Type="http://schemas.openxmlformats.org/officeDocument/2006/relationships/hyperlink" Target="https://optovikufa.ru/product/128607/batareyka-camelion-cr1632-bl-1/" TargetMode="External"/><Relationship Id="rId_hyperlink_3667" Type="http://schemas.openxmlformats.org/officeDocument/2006/relationships/hyperlink" Target="https://optovikufa.ru/product/148564/batareyka-camelion-cr2016-bp-5-50/" TargetMode="External"/><Relationship Id="rId_hyperlink_3668" Type="http://schemas.openxmlformats.org/officeDocument/2006/relationships/hyperlink" Target="https://optovikufa.ru/product/148565/batareyka-camelion-cr2025-bp-5-50/" TargetMode="External"/><Relationship Id="rId_hyperlink_3669" Type="http://schemas.openxmlformats.org/officeDocument/2006/relationships/hyperlink" Target="https://optovikufa.ru/product/166062/batareyka-camelion-cr2032-bl-5-50/" TargetMode="External"/><Relationship Id="rId_hyperlink_3670" Type="http://schemas.openxmlformats.org/officeDocument/2006/relationships/hyperlink" Target="https://optovikufa.ru/product/184269/batareyka-camelion-cr2325-bl-1/" TargetMode="External"/><Relationship Id="rId_hyperlink_3671" Type="http://schemas.openxmlformats.org/officeDocument/2006/relationships/hyperlink" Target="https://optovikufa.ru/product/184270/batareyka-camelion-cr2330-bl-1/" TargetMode="External"/><Relationship Id="rId_hyperlink_3672" Type="http://schemas.openxmlformats.org/officeDocument/2006/relationships/hyperlink" Target="https://optovikufa.ru/product/166083/batareyka-camelion-cr2430-bl-1/" TargetMode="External"/><Relationship Id="rId_hyperlink_3673" Type="http://schemas.openxmlformats.org/officeDocument/2006/relationships/hyperlink" Target="https://optovikufa.ru/product/166084/batareyka-camelion-cr2450-bl-1/" TargetMode="External"/><Relationship Id="rId_hyperlink_3674" Type="http://schemas.openxmlformats.org/officeDocument/2006/relationships/hyperlink" Target="https://optovikufa.ru/product/131895/batareyka-camelion-cr2477-bl-1/" TargetMode="External"/><Relationship Id="rId_hyperlink_3675" Type="http://schemas.openxmlformats.org/officeDocument/2006/relationships/hyperlink" Target="https://optovikufa.ru/product/243028/batareyka-duracell-cr2016-bl-5-rst-50/" TargetMode="External"/><Relationship Id="rId_hyperlink_3676" Type="http://schemas.openxmlformats.org/officeDocument/2006/relationships/hyperlink" Target="https://optovikufa.ru/product/243027/batareyka-duracell-cr2025-bl-5-rst-50/" TargetMode="External"/><Relationship Id="rId_hyperlink_3677" Type="http://schemas.openxmlformats.org/officeDocument/2006/relationships/hyperlink" Target="https://optovikufa.ru/product/243026/batareyka-duracell-cr2032-bl-5-rst-50/" TargetMode="External"/><Relationship Id="rId_hyperlink_3678" Type="http://schemas.openxmlformats.org/officeDocument/2006/relationships/hyperlink" Target="https://optovikufa.ru/product/145776/batareyka-energizer-cr2016-lithium-bl-2-20/" TargetMode="External"/><Relationship Id="rId_hyperlink_3679" Type="http://schemas.openxmlformats.org/officeDocument/2006/relationships/hyperlink" Target="https://optovikufa.ru/product/123262/batareyka-energizer-cr2025-lithium-bl-1/" TargetMode="External"/><Relationship Id="rId_hyperlink_3680" Type="http://schemas.openxmlformats.org/officeDocument/2006/relationships/hyperlink" Target="https://optovikufa.ru/product/135819/batareyka-energizer-cr2032-lithium-bl-1-10/" TargetMode="External"/><Relationship Id="rId_hyperlink_3681" Type="http://schemas.openxmlformats.org/officeDocument/2006/relationships/hyperlink" Target="https://optovikufa.ru/product/238575/batareyka-er14505-ax-aa-36v-2600mah-s-aksialnymi-vyvodami-sunmoon/" TargetMode="External"/><Relationship Id="rId_hyperlink_3682" Type="http://schemas.openxmlformats.org/officeDocument/2006/relationships/hyperlink" Target="https://optovikufa.ru/product/218916/batareyka-gp-cr2016-bl-5/" TargetMode="External"/><Relationship Id="rId_hyperlink_3683" Type="http://schemas.openxmlformats.org/officeDocument/2006/relationships/hyperlink" Target="https://optovikufa.ru/product/218917/batareyka-gp-cr2025-bl-5/" TargetMode="External"/><Relationship Id="rId_hyperlink_3684" Type="http://schemas.openxmlformats.org/officeDocument/2006/relationships/hyperlink" Target="https://optovikufa.ru/product/224048/batareyka-gp-cr2032-bl-1/" TargetMode="External"/><Relationship Id="rId_hyperlink_3685" Type="http://schemas.openxmlformats.org/officeDocument/2006/relationships/hyperlink" Target="https://optovikufa.ru/product/233961/batareyka-panasonic-cr2412-bl-1-dlya-klyuchey-lexus/" TargetMode="External"/><Relationship Id="rId_hyperlink_3686" Type="http://schemas.openxmlformats.org/officeDocument/2006/relationships/hyperlink" Target="https://optovikufa.ru/product/145310/batareyka-panasonic-power-cells-cr2016-bl-6-60/" TargetMode="External"/><Relationship Id="rId_hyperlink_3687" Type="http://schemas.openxmlformats.org/officeDocument/2006/relationships/hyperlink" Target="https://optovikufa.ru/product/145311/batareyka-panasonic-power-cells-cr2025-bl-6-60/" TargetMode="External"/><Relationship Id="rId_hyperlink_3688" Type="http://schemas.openxmlformats.org/officeDocument/2006/relationships/hyperlink" Target="https://optovikufa.ru/product/145312/batareyka-panasonic-power-cells-cr2032-bl-6-60/" TargetMode="External"/><Relationship Id="rId_hyperlink_3689" Type="http://schemas.openxmlformats.org/officeDocument/2006/relationships/hyperlink" Target="https://optovikufa.ru/product/228057/batareyka-renata-cr1025-bl-1/" TargetMode="External"/><Relationship Id="rId_hyperlink_3690" Type="http://schemas.openxmlformats.org/officeDocument/2006/relationships/hyperlink" Target="https://optovikufa.ru/product/226902/batareyka-renata-cr1216-bl-1/" TargetMode="External"/><Relationship Id="rId_hyperlink_3691" Type="http://schemas.openxmlformats.org/officeDocument/2006/relationships/hyperlink" Target="https://optovikufa.ru/product/227004/batareyka-renata-cr1225-bl-1/" TargetMode="External"/><Relationship Id="rId_hyperlink_3692" Type="http://schemas.openxmlformats.org/officeDocument/2006/relationships/hyperlink" Target="https://optovikufa.ru/product/219921/batareyka-renata-cr1620-bl-1/" TargetMode="External"/><Relationship Id="rId_hyperlink_3693" Type="http://schemas.openxmlformats.org/officeDocument/2006/relationships/hyperlink" Target="https://optovikufa.ru/product/128611/batareyka-renata-cr1632-bl-1/" TargetMode="External"/><Relationship Id="rId_hyperlink_3694" Type="http://schemas.openxmlformats.org/officeDocument/2006/relationships/hyperlink" Target="https://optovikufa.ru/product/135173/batareyka-renata-cr2016-bl-1/" TargetMode="External"/><Relationship Id="rId_hyperlink_3695" Type="http://schemas.openxmlformats.org/officeDocument/2006/relationships/hyperlink" Target="https://optovikufa.ru/product/135174/batareyka-renata-cr2025-bl-1/" TargetMode="External"/><Relationship Id="rId_hyperlink_3696" Type="http://schemas.openxmlformats.org/officeDocument/2006/relationships/hyperlink" Target="https://optovikufa.ru/product/135175/batareyka-renata-cr2032-bl-1/" TargetMode="External"/><Relationship Id="rId_hyperlink_3697" Type="http://schemas.openxmlformats.org/officeDocument/2006/relationships/hyperlink" Target="https://optovikufa.ru/product/229255/batareyka-renata-cr2320-bl-1/" TargetMode="External"/><Relationship Id="rId_hyperlink_3698" Type="http://schemas.openxmlformats.org/officeDocument/2006/relationships/hyperlink" Target="https://optovikufa.ru/product/229256/batareyka-renata-cr2325-bl-1/" TargetMode="External"/><Relationship Id="rId_hyperlink_3699" Type="http://schemas.openxmlformats.org/officeDocument/2006/relationships/hyperlink" Target="https://optovikufa.ru/product/151659/batareyka-renata-cr2430-bl-1/" TargetMode="External"/><Relationship Id="rId_hyperlink_3700" Type="http://schemas.openxmlformats.org/officeDocument/2006/relationships/hyperlink" Target="https://optovikufa.ru/product/226724/batareyka-robiton-profi-cr13n-3v-bl-1-dlya-vebasty/" TargetMode="External"/><Relationship Id="rId_hyperlink_3701" Type="http://schemas.openxmlformats.org/officeDocument/2006/relationships/hyperlink" Target="https://optovikufa.ru/product/231824/batareyka-robiton-profi-cr1216-bl-1/" TargetMode="External"/><Relationship Id="rId_hyperlink_3702" Type="http://schemas.openxmlformats.org/officeDocument/2006/relationships/hyperlink" Target="https://optovikufa.ru/product/231825/batareyka-robiton-profi-cr1220-bl-1/" TargetMode="External"/><Relationship Id="rId_hyperlink_3703" Type="http://schemas.openxmlformats.org/officeDocument/2006/relationships/hyperlink" Target="https://optovikufa.ru/product/231826/batareyka-robiton-profi-cr1225-bl-1/" TargetMode="External"/><Relationship Id="rId_hyperlink_3704" Type="http://schemas.openxmlformats.org/officeDocument/2006/relationships/hyperlink" Target="https://optovikufa.ru/product/231828/batareyka-robiton-profi-cr1620-bl-1/" TargetMode="External"/><Relationship Id="rId_hyperlink_3705" Type="http://schemas.openxmlformats.org/officeDocument/2006/relationships/hyperlink" Target="https://optovikufa.ru/product/231829/batareyka-robiton-profi-cr1632-bl-1/" TargetMode="External"/><Relationship Id="rId_hyperlink_3706" Type="http://schemas.openxmlformats.org/officeDocument/2006/relationships/hyperlink" Target="https://optovikufa.ru/product/235837/batareyka-robiton-profi-cr1632-bl-5/" TargetMode="External"/><Relationship Id="rId_hyperlink_3707" Type="http://schemas.openxmlformats.org/officeDocument/2006/relationships/hyperlink" Target="https://optovikufa.ru/product/230833/batareyka-robiton-profi-cr2016-bl-5/" TargetMode="External"/><Relationship Id="rId_hyperlink_3708" Type="http://schemas.openxmlformats.org/officeDocument/2006/relationships/hyperlink" Target="https://optovikufa.ru/product/230834/batareyka-robiton-profi-cr2025-bl-5/" TargetMode="External"/><Relationship Id="rId_hyperlink_3709" Type="http://schemas.openxmlformats.org/officeDocument/2006/relationships/hyperlink" Target="https://optovikufa.ru/product/233988/batareyka-robiton-profi-cr2032-bl-1/" TargetMode="External"/><Relationship Id="rId_hyperlink_3710" Type="http://schemas.openxmlformats.org/officeDocument/2006/relationships/hyperlink" Target="https://optovikufa.ru/product/230835/batareyka-robiton-profi-cr2032-bl-5/" TargetMode="External"/><Relationship Id="rId_hyperlink_3711" Type="http://schemas.openxmlformats.org/officeDocument/2006/relationships/hyperlink" Target="https://optovikufa.ru/product/231262/batareyka-robiton-profi-cr2032-ha62205-s-vyvodami-pod-payku-upak-5sht/" TargetMode="External"/><Relationship Id="rId_hyperlink_3712" Type="http://schemas.openxmlformats.org/officeDocument/2006/relationships/hyperlink" Target="https://optovikufa.ru/product/231263/batareyka-robiton-profi-cr2032-hp2m1-s-vyvodami-pod-payku-5/" TargetMode="External"/><Relationship Id="rId_hyperlink_3713" Type="http://schemas.openxmlformats.org/officeDocument/2006/relationships/hyperlink" Target="https://optovikufa.ru/product/231264/batareyka-robiton-profi-cr2032-vp2m1-s-vyvodami-pod-payku-upak-5sht/" TargetMode="External"/><Relationship Id="rId_hyperlink_3714" Type="http://schemas.openxmlformats.org/officeDocument/2006/relationships/hyperlink" Target="https://optovikufa.ru/product/231265/batareyka-robiton-profi-cr2320-bl-1/" TargetMode="External"/><Relationship Id="rId_hyperlink_3715" Type="http://schemas.openxmlformats.org/officeDocument/2006/relationships/hyperlink" Target="https://optovikufa.ru/product/231266/batareyka-robiton-profi-cr2325-bl-1/" TargetMode="External"/><Relationship Id="rId_hyperlink_3716" Type="http://schemas.openxmlformats.org/officeDocument/2006/relationships/hyperlink" Target="https://optovikufa.ru/product/231267/batareyka-robiton-profi-cr2330-bl-1/" TargetMode="External"/><Relationship Id="rId_hyperlink_3717" Type="http://schemas.openxmlformats.org/officeDocument/2006/relationships/hyperlink" Target="https://optovikufa.ru/product/231268/batareyka-robiton-profi-cr2354-bl-1/" TargetMode="External"/><Relationship Id="rId_hyperlink_3718" Type="http://schemas.openxmlformats.org/officeDocument/2006/relationships/hyperlink" Target="https://optovikufa.ru/product/231269/batareyka-robiton-profi-cr2430-bl-1/" TargetMode="External"/><Relationship Id="rId_hyperlink_3719" Type="http://schemas.openxmlformats.org/officeDocument/2006/relationships/hyperlink" Target="https://optovikufa.ru/product/231270/batareyka-robiton-profi-cr2450-bl-1/" TargetMode="External"/><Relationship Id="rId_hyperlink_3720" Type="http://schemas.openxmlformats.org/officeDocument/2006/relationships/hyperlink" Target="https://optovikufa.ru/product/235242/batareyka-robiton-profi-cr2450-hb55205-3v-s-vyvodami-pod-payku-5/" TargetMode="External"/><Relationship Id="rId_hyperlink_3721" Type="http://schemas.openxmlformats.org/officeDocument/2006/relationships/hyperlink" Target="https://optovikufa.ru/product/235243/batareyka-robiton-profi-cr2450-hp2m1-3v-s-vyvodami-pod-payku-5/" TargetMode="External"/><Relationship Id="rId_hyperlink_3722" Type="http://schemas.openxmlformats.org/officeDocument/2006/relationships/hyperlink" Target="https://optovikufa.ru/product/136858/batareyka-samsung-pleomax-cr2016-bl-5/" TargetMode="External"/><Relationship Id="rId_hyperlink_3723" Type="http://schemas.openxmlformats.org/officeDocument/2006/relationships/hyperlink" Target="https://optovikufa.ru/product/136859/batareyka-samsung-pleomax-cr2025-bl-5/" TargetMode="External"/><Relationship Id="rId_hyperlink_3724" Type="http://schemas.openxmlformats.org/officeDocument/2006/relationships/hyperlink" Target="https://optovikufa.ru/product/136860/batareyka-samsung-pleomax-cr2032-bl-5/" TargetMode="External"/><Relationship Id="rId_hyperlink_3725" Type="http://schemas.openxmlformats.org/officeDocument/2006/relationships/hyperlink" Target="https://optovikufa.ru/product/168402/batareyka-smartbuy-cr1216-bl-1/" TargetMode="External"/><Relationship Id="rId_hyperlink_3726" Type="http://schemas.openxmlformats.org/officeDocument/2006/relationships/hyperlink" Target="https://optovikufa.ru/product/168403/batareyka-smartbuy-cr1220-bl-1/" TargetMode="External"/><Relationship Id="rId_hyperlink_3727" Type="http://schemas.openxmlformats.org/officeDocument/2006/relationships/hyperlink" Target="https://optovikufa.ru/product/152071/batareyka-smartbuy-cr1225-bl-1/" TargetMode="External"/><Relationship Id="rId_hyperlink_3728" Type="http://schemas.openxmlformats.org/officeDocument/2006/relationships/hyperlink" Target="https://optovikufa.ru/product/152072/batareyka-smartbuy-cr1616-bl-1/" TargetMode="External"/><Relationship Id="rId_hyperlink_3729" Type="http://schemas.openxmlformats.org/officeDocument/2006/relationships/hyperlink" Target="https://optovikufa.ru/product/152073/batareyka-smartbuy-cr1620-bl-1/" TargetMode="External"/><Relationship Id="rId_hyperlink_3730" Type="http://schemas.openxmlformats.org/officeDocument/2006/relationships/hyperlink" Target="https://optovikufa.ru/product/152074/batareyka-smartbuy-cr1632-bl-1/" TargetMode="External"/><Relationship Id="rId_hyperlink_3731" Type="http://schemas.openxmlformats.org/officeDocument/2006/relationships/hyperlink" Target="https://optovikufa.ru/product/129489/batareyka-smartbuy-cr2016-bl-5/" TargetMode="External"/><Relationship Id="rId_hyperlink_3732" Type="http://schemas.openxmlformats.org/officeDocument/2006/relationships/hyperlink" Target="https://optovikufa.ru/product/129490/batareyka-smartbuy-cr2025-bl-5/" TargetMode="External"/><Relationship Id="rId_hyperlink_3733" Type="http://schemas.openxmlformats.org/officeDocument/2006/relationships/hyperlink" Target="https://optovikufa.ru/product/131641/batareyka-smartbuy-cr2032-bl-1-12/" TargetMode="External"/><Relationship Id="rId_hyperlink_3734" Type="http://schemas.openxmlformats.org/officeDocument/2006/relationships/hyperlink" Target="https://optovikufa.ru/product/129491/batareyka-smartbuy-cr2032-bl-5-100/" TargetMode="External"/><Relationship Id="rId_hyperlink_3735" Type="http://schemas.openxmlformats.org/officeDocument/2006/relationships/hyperlink" Target="https://optovikufa.ru/product/152076/batareyka-smartbuy-cr2430-bl-5/" TargetMode="External"/><Relationship Id="rId_hyperlink_3736" Type="http://schemas.openxmlformats.org/officeDocument/2006/relationships/hyperlink" Target="https://optovikufa.ru/product/169387/batareyka-smartbuy-cr2450-bl-5-100/" TargetMode="External"/><Relationship Id="rId_hyperlink_3737" Type="http://schemas.openxmlformats.org/officeDocument/2006/relationships/hyperlink" Target="https://optovikufa.ru/product/221264/batareyka-varta-cr13n-bl-1/" TargetMode="External"/><Relationship Id="rId_hyperlink_3738" Type="http://schemas.openxmlformats.org/officeDocument/2006/relationships/hyperlink" Target="https://optovikufa.ru/product/222951/batareyka-varta-cr2016-bl-1-10/" TargetMode="External"/><Relationship Id="rId_hyperlink_3739" Type="http://schemas.openxmlformats.org/officeDocument/2006/relationships/hyperlink" Target="https://optovikufa.ru/product/222952/batareyka-varta-cr2025-bl-1-10/" TargetMode="External"/><Relationship Id="rId_hyperlink_3740" Type="http://schemas.openxmlformats.org/officeDocument/2006/relationships/hyperlink" Target="https://optovikufa.ru/product/220594/batareyka-varta-cr2032-bl-1-10/" TargetMode="External"/><Relationship Id="rId_hyperlink_3741" Type="http://schemas.openxmlformats.org/officeDocument/2006/relationships/hyperlink" Target="https://optovikufa.ru/product/167725/batareyka-camelion-g00-mercury-free-379alr521-bl-10-100/" TargetMode="External"/><Relationship Id="rId_hyperlink_3742" Type="http://schemas.openxmlformats.org/officeDocument/2006/relationships/hyperlink" Target="https://optovikufa.ru/product/178038/batareyka-camelion-g01-mercury-free-364alr621164-bl-10-100/" TargetMode="External"/><Relationship Id="rId_hyperlink_3743" Type="http://schemas.openxmlformats.org/officeDocument/2006/relationships/hyperlink" Target="https://optovikufa.ru/product/217174/batareyka-camelion-g02-mercury-free-396alr726196-bl-10-100/" TargetMode="External"/><Relationship Id="rId_hyperlink_3744" Type="http://schemas.openxmlformats.org/officeDocument/2006/relationships/hyperlink" Target="https://optovikufa.ru/product/146089/batareyka-camelion-g03-mercury-free-392alr41192-bl-10-100/" TargetMode="External"/><Relationship Id="rId_hyperlink_3745" Type="http://schemas.openxmlformats.org/officeDocument/2006/relationships/hyperlink" Target="https://optovikufa.ru/product/144858/batareyka-camelion-g04-mercury-free-377alr626177-bl-10-100/" TargetMode="External"/><Relationship Id="rId_hyperlink_3746" Type="http://schemas.openxmlformats.org/officeDocument/2006/relationships/hyperlink" Target="https://optovikufa.ru/product/134599/batareyka-camelion-g05-mercury-free-393alr754193-bl-10-100/" TargetMode="External"/><Relationship Id="rId_hyperlink_3747" Type="http://schemas.openxmlformats.org/officeDocument/2006/relationships/hyperlink" Target="https://optovikufa.ru/product/178204/batareyka-camelion-g06-mercury-free-371alr921171-bl-10-100/" TargetMode="External"/><Relationship Id="rId_hyperlink_3748" Type="http://schemas.openxmlformats.org/officeDocument/2006/relationships/hyperlink" Target="https://optovikufa.ru/product/178044/batareyka-camelion-g07-mercury-free-395alr926195-bl-10-100/" TargetMode="External"/><Relationship Id="rId_hyperlink_3749" Type="http://schemas.openxmlformats.org/officeDocument/2006/relationships/hyperlink" Target="https://optovikufa.ru/product/178039/batareyka-camelion-g08-mercury-free-391alr1120191-bl-10-100/" TargetMode="External"/><Relationship Id="rId_hyperlink_3750" Type="http://schemas.openxmlformats.org/officeDocument/2006/relationships/hyperlink" Target="https://optovikufa.ru/product/178203/batareyka-camelion-g09-mercury-free-394alr936194-bl-10-100/" TargetMode="External"/><Relationship Id="rId_hyperlink_3751" Type="http://schemas.openxmlformats.org/officeDocument/2006/relationships/hyperlink" Target="https://optovikufa.ru/product/131640/batareyka-camelion-g10-mercury-free-389alr1130189-bl-10-100/" TargetMode="External"/><Relationship Id="rId_hyperlink_3752" Type="http://schemas.openxmlformats.org/officeDocument/2006/relationships/hyperlink" Target="https://optovikufa.ru/product/178043/batareyka-camelion-g11-mercury-free-362alr721162-bl-10-100/" TargetMode="External"/><Relationship Id="rId_hyperlink_3753" Type="http://schemas.openxmlformats.org/officeDocument/2006/relationships/hyperlink" Target="https://optovikufa.ru/product/178205/batareyka-camelion-g12-mercury-free-386alr43186-bl-10-100/" TargetMode="External"/><Relationship Id="rId_hyperlink_3754" Type="http://schemas.openxmlformats.org/officeDocument/2006/relationships/hyperlink" Target="https://optovikufa.ru/product/144859/batareyka-camelion-g13-mercury-free-357alr44a76-bl-10-100/" TargetMode="External"/><Relationship Id="rId_hyperlink_3755" Type="http://schemas.openxmlformats.org/officeDocument/2006/relationships/hyperlink" Target="https://optovikufa.ru/product/134511/batareyka-defender-g01-364alr621164-bl-10-200/" TargetMode="External"/><Relationship Id="rId_hyperlink_3756" Type="http://schemas.openxmlformats.org/officeDocument/2006/relationships/hyperlink" Target="https://optovikufa.ru/product/243029/batareyka-duracell-g13-357alr44a76-bl-10-rst-100/" TargetMode="External"/><Relationship Id="rId_hyperlink_3757" Type="http://schemas.openxmlformats.org/officeDocument/2006/relationships/hyperlink" Target="https://optovikufa.ru/product/232687/batareyka-gp-g03-392alr736-bl-10/" TargetMode="External"/><Relationship Id="rId_hyperlink_3758" Type="http://schemas.openxmlformats.org/officeDocument/2006/relationships/hyperlink" Target="https://optovikufa.ru/product/225193/batareyka-gp-g04-377alr626-bl-10/" TargetMode="External"/><Relationship Id="rId_hyperlink_3759" Type="http://schemas.openxmlformats.org/officeDocument/2006/relationships/hyperlink" Target="https://optovikufa.ru/product/225194/batareyka-gp-g10-389alr54-lr1130-bl-10/" TargetMode="External"/><Relationship Id="rId_hyperlink_3760" Type="http://schemas.openxmlformats.org/officeDocument/2006/relationships/hyperlink" Target="https://optovikufa.ru/product/236710/batareyka-robiton-g0-bl-5-100/" TargetMode="External"/><Relationship Id="rId_hyperlink_3761" Type="http://schemas.openxmlformats.org/officeDocument/2006/relationships/hyperlink" Target="https://optovikufa.ru/product/236711/batareyka-robiton-g01-bl-5-100/" TargetMode="External"/><Relationship Id="rId_hyperlink_3762" Type="http://schemas.openxmlformats.org/officeDocument/2006/relationships/hyperlink" Target="https://optovikufa.ru/product/236712/batareyka-robiton-g02-bl-5-100/" TargetMode="External"/><Relationship Id="rId_hyperlink_3763" Type="http://schemas.openxmlformats.org/officeDocument/2006/relationships/hyperlink" Target="https://optovikufa.ru/product/231271/batareyka-robiton-g03-bl-5-100/" TargetMode="External"/><Relationship Id="rId_hyperlink_3764" Type="http://schemas.openxmlformats.org/officeDocument/2006/relationships/hyperlink" Target="https://optovikufa.ru/product/231272/batareyka-robiton-g04-bl-5-100/" TargetMode="External"/><Relationship Id="rId_hyperlink_3765" Type="http://schemas.openxmlformats.org/officeDocument/2006/relationships/hyperlink" Target="https://optovikufa.ru/product/231273/batareyka-robiton-g05-bl-5-100/" TargetMode="External"/><Relationship Id="rId_hyperlink_3766" Type="http://schemas.openxmlformats.org/officeDocument/2006/relationships/hyperlink" Target="https://optovikufa.ru/product/236713/batareyka-robiton-g06-bl-5-100/" TargetMode="External"/><Relationship Id="rId_hyperlink_3767" Type="http://schemas.openxmlformats.org/officeDocument/2006/relationships/hyperlink" Target="https://optovikufa.ru/product/236714/batareyka-robiton-g07-bl-5-100/" TargetMode="External"/><Relationship Id="rId_hyperlink_3768" Type="http://schemas.openxmlformats.org/officeDocument/2006/relationships/hyperlink" Target="https://optovikufa.ru/product/236715/batareyka-robiton-g08-bl-5-100/" TargetMode="External"/><Relationship Id="rId_hyperlink_3769" Type="http://schemas.openxmlformats.org/officeDocument/2006/relationships/hyperlink" Target="https://optovikufa.ru/product/236716/batareyka-robiton-g09-bl-5-100/" TargetMode="External"/><Relationship Id="rId_hyperlink_3770" Type="http://schemas.openxmlformats.org/officeDocument/2006/relationships/hyperlink" Target="https://optovikufa.ru/product/237959/batareyka-robiton-g11-bl-5-100/" TargetMode="External"/><Relationship Id="rId_hyperlink_3771" Type="http://schemas.openxmlformats.org/officeDocument/2006/relationships/hyperlink" Target="https://optovikufa.ru/product/231276/batareyka-robiton-g13-bl-3-60/" TargetMode="External"/><Relationship Id="rId_hyperlink_3772" Type="http://schemas.openxmlformats.org/officeDocument/2006/relationships/hyperlink" Target="https://optovikufa.ru/product/147645/batareyka-smartbuy-g00-bl-10-100/" TargetMode="External"/><Relationship Id="rId_hyperlink_3773" Type="http://schemas.openxmlformats.org/officeDocument/2006/relationships/hyperlink" Target="https://optovikufa.ru/product/147651/batareyka-smartbuy-g02-bl-10-100/" TargetMode="External"/><Relationship Id="rId_hyperlink_3774" Type="http://schemas.openxmlformats.org/officeDocument/2006/relationships/hyperlink" Target="https://optovikufa.ru/product/147653/batareyka-smartbuy-g04-bl-10-100/" TargetMode="External"/><Relationship Id="rId_hyperlink_3775" Type="http://schemas.openxmlformats.org/officeDocument/2006/relationships/hyperlink" Target="https://optovikufa.ru/product/147654/batareyka-smartbuy-g05-bl-10-100/" TargetMode="External"/><Relationship Id="rId_hyperlink_3776" Type="http://schemas.openxmlformats.org/officeDocument/2006/relationships/hyperlink" Target="https://optovikufa.ru/product/147655/batareyka-smartbuy-g06-bl-10-100/" TargetMode="External"/><Relationship Id="rId_hyperlink_3777" Type="http://schemas.openxmlformats.org/officeDocument/2006/relationships/hyperlink" Target="https://optovikufa.ru/product/147657/batareyka-smartbuy-g08-bl-10-100/" TargetMode="External"/><Relationship Id="rId_hyperlink_3778" Type="http://schemas.openxmlformats.org/officeDocument/2006/relationships/hyperlink" Target="https://optovikufa.ru/product/147658/batareyka-smartbuy-g09-bl-10-100/" TargetMode="External"/><Relationship Id="rId_hyperlink_3779" Type="http://schemas.openxmlformats.org/officeDocument/2006/relationships/hyperlink" Target="https://optovikufa.ru/product/147648/batareyka-smartbuy-g11-bl-10-200/" TargetMode="External"/><Relationship Id="rId_hyperlink_3780" Type="http://schemas.openxmlformats.org/officeDocument/2006/relationships/hyperlink" Target="https://optovikufa.ru/product/147649/batareyka-smartbuy-g12-bl-10-100/" TargetMode="External"/><Relationship Id="rId_hyperlink_3781" Type="http://schemas.openxmlformats.org/officeDocument/2006/relationships/hyperlink" Target="https://optovikufa.ru/product/147650/batareyka-smartbuy-g13-bl-10-200/" TargetMode="External"/><Relationship Id="rId_hyperlink_3782" Type="http://schemas.openxmlformats.org/officeDocument/2006/relationships/hyperlink" Target="https://optovikufa.ru/product/138135/batareyka-videx-g09-394alr936194-bl-10-100/" TargetMode="External"/><Relationship Id="rId_hyperlink_3783" Type="http://schemas.openxmlformats.org/officeDocument/2006/relationships/hyperlink" Target="https://optovikufa.ru/product/233995/batareyka-er14250-12aa-36v-ph-lisocl21-robiton-s-ploskimi-vyvodami-pk1/" TargetMode="External"/><Relationship Id="rId_hyperlink_3784" Type="http://schemas.openxmlformats.org/officeDocument/2006/relationships/hyperlink" Target="https://optovikufa.ru/product/220558/batareyka-er14505-aa-36v-ph1robiton/" TargetMode="External"/><Relationship Id="rId_hyperlink_3785" Type="http://schemas.openxmlformats.org/officeDocument/2006/relationships/hyperlink" Target="https://optovikufa.ru/product/229278/blok-pitaniya-reguliruemyy-15-12v-1000ma-6-nasadok-tw-003/" TargetMode="External"/><Relationship Id="rId_hyperlink_3786" Type="http://schemas.openxmlformats.org/officeDocument/2006/relationships/hyperlink" Target="https://optovikufa.ru/product/177697/blok-pitaniya-reguliruemyy-15-12v-500ma-xingma-xm-500d/" TargetMode="External"/><Relationship Id="rId_hyperlink_3787" Type="http://schemas.openxmlformats.org/officeDocument/2006/relationships/hyperlink" Target="https://optovikufa.ru/product/239572/blok-pitaniya-reguliruemyy-3-12v-2000ma-shteker-55h25mm-ot-apb114/" TargetMode="External"/><Relationship Id="rId_hyperlink_3788" Type="http://schemas.openxmlformats.org/officeDocument/2006/relationships/hyperlink" Target="https://optovikufa.ru/product/239573/blok-pitaniya-reguliruemyy-3-12v-2000ma-shteker-55h25mm-ot-apb115/" TargetMode="External"/><Relationship Id="rId_hyperlink_3789" Type="http://schemas.openxmlformats.org/officeDocument/2006/relationships/hyperlink" Target="https://optovikufa.ru/product/171886/blok-pitaniya-reguliruemyy-3-12v-2100ma-6-nasadok-lp-1000/" TargetMode="External"/><Relationship Id="rId_hyperlink_3790" Type="http://schemas.openxmlformats.org/officeDocument/2006/relationships/hyperlink" Target="https://optovikufa.ru/product/239831/blok-pitaniya-reguliruemyy-3-12v-3000ma-8-nasadok-lp-80/" TargetMode="External"/><Relationship Id="rId_hyperlink_3791" Type="http://schemas.openxmlformats.org/officeDocument/2006/relationships/hyperlink" Target="https://optovikufa.ru/product/234998/blok-pitaniya-reguliruemyy-3-12v-5000ma-shteker-55h25mm-cifrovoy-voltmetr-live-power-lp-397/" TargetMode="External"/><Relationship Id="rId_hyperlink_3792" Type="http://schemas.openxmlformats.org/officeDocument/2006/relationships/hyperlink" Target="https://optovikufa.ru/product/240546/blok-pitaniya-reguliruemyy-3-24v-2000ma-shteker-55h25mm-ot-apb105/" TargetMode="External"/><Relationship Id="rId_hyperlink_3793" Type="http://schemas.openxmlformats.org/officeDocument/2006/relationships/hyperlink" Target="https://optovikufa.ru/product/171888/blok-pitaniya-reguliruemyy-12-24v-1500ma-8-nasadok-lp-507/" TargetMode="External"/><Relationship Id="rId_hyperlink_3794" Type="http://schemas.openxmlformats.org/officeDocument/2006/relationships/hyperlink" Target="https://optovikufa.ru/product/222826/blok-pitaniya-3v-800ma-shteker-2pin-mrm-power-328/" TargetMode="External"/><Relationship Id="rId_hyperlink_3795" Type="http://schemas.openxmlformats.org/officeDocument/2006/relationships/hyperlink" Target="https://optovikufa.ru/product/219684/blok-pitaniya-3v-2000ma-shteker-55h25mm-ap-305-ot-apb21/" TargetMode="External"/><Relationship Id="rId_hyperlink_3796" Type="http://schemas.openxmlformats.org/officeDocument/2006/relationships/hyperlink" Target="https://optovikufa.ru/product/241643/blok-pitaniya-3v-2000ma-shteker-55h25mm-live-power-sp-32/" TargetMode="External"/><Relationship Id="rId_hyperlink_3797" Type="http://schemas.openxmlformats.org/officeDocument/2006/relationships/hyperlink" Target="https://optovikufa.ru/product/236625/blok-pitaniya-3v-2000ma-shteker-55h25mm-lp-32/" TargetMode="External"/><Relationship Id="rId_hyperlink_3798" Type="http://schemas.openxmlformats.org/officeDocument/2006/relationships/hyperlink" Target="https://optovikufa.ru/product/235272/blok-pitaniya-55v-500ma-shteker-55h25mm-pnlv226ce/" TargetMode="External"/><Relationship Id="rId_hyperlink_3799" Type="http://schemas.openxmlformats.org/officeDocument/2006/relationships/hyperlink" Target="https://optovikufa.ru/product/234322/blok-pitaniya-5v-1000ma-usb-lp-100/" TargetMode="External"/><Relationship Id="rId_hyperlink_3800" Type="http://schemas.openxmlformats.org/officeDocument/2006/relationships/hyperlink" Target="https://optovikufa.ru/product/177677/blok-pitaniya-5v-1000ma-shteker-35h135mm-live-power-lp-29/" TargetMode="External"/><Relationship Id="rId_hyperlink_3801" Type="http://schemas.openxmlformats.org/officeDocument/2006/relationships/hyperlink" Target="https://optovikufa.ru/product/242560/blok-pitaniya-5v-1500ma-shteker-25h07mm-live-power-lp-02/" TargetMode="External"/><Relationship Id="rId_hyperlink_3802" Type="http://schemas.openxmlformats.org/officeDocument/2006/relationships/hyperlink" Target="https://optovikufa.ru/product/131642/blok-pitaniya-5v-1500ma-shteker-55h25mm-ot-apb23/" TargetMode="External"/><Relationship Id="rId_hyperlink_3803" Type="http://schemas.openxmlformats.org/officeDocument/2006/relationships/hyperlink" Target="https://optovikufa.ru/product/230676/blok-pitaniya-5v-2000ma-sdvoennyy-shteker-55254017-af-502/" TargetMode="External"/><Relationship Id="rId_hyperlink_3804" Type="http://schemas.openxmlformats.org/officeDocument/2006/relationships/hyperlink" Target="https://optovikufa.ru/product/225937/blok-pitaniya-5v-2000ma-shteker-25mm-ot-apb83/" TargetMode="External"/><Relationship Id="rId_hyperlink_3805" Type="http://schemas.openxmlformats.org/officeDocument/2006/relationships/hyperlink" Target="https://optovikufa.ru/product/177676/blok-pitaniya-5v-2000ma-shteker-25h07mm-live-power-lp-25/" TargetMode="External"/><Relationship Id="rId_hyperlink_3806" Type="http://schemas.openxmlformats.org/officeDocument/2006/relationships/hyperlink" Target="https://optovikufa.ru/product/234392/blok-pitaniya-5v-2000ma-shteker-35135-dream-hd8869/" TargetMode="External"/><Relationship Id="rId_hyperlink_3807" Type="http://schemas.openxmlformats.org/officeDocument/2006/relationships/hyperlink" Target="https://optovikufa.ru/product/171991/blok-pitaniya-5v-2000ma-shteker-55h21mm-mrm-power-0502/" TargetMode="External"/><Relationship Id="rId_hyperlink_3808" Type="http://schemas.openxmlformats.org/officeDocument/2006/relationships/hyperlink" Target="https://optovikufa.ru/product/178453/blok-pitaniya-5v-2000ma-shteker-55h21mm-live-power-lp-70/" TargetMode="External"/><Relationship Id="rId_hyperlink_3809" Type="http://schemas.openxmlformats.org/officeDocument/2006/relationships/hyperlink" Target="https://optovikufa.ru/product/234069/blok-pitaniya-5v-2000ma-shteker-55h25mm-2-nasadki-40x17mm35x135-live-power-lp-111/" TargetMode="External"/><Relationship Id="rId_hyperlink_3810" Type="http://schemas.openxmlformats.org/officeDocument/2006/relationships/hyperlink" Target="https://optovikufa.ru/product/241027/blok-pitaniya-5v-2000ma-shteker-55h25mm-hky66/" TargetMode="External"/><Relationship Id="rId_hyperlink_3811" Type="http://schemas.openxmlformats.org/officeDocument/2006/relationships/hyperlink" Target="https://optovikufa.ru/product/240869/blok-pitaniya-5v-2000ma-shteker-55h25mm-live-power-lp-172/" TargetMode="External"/><Relationship Id="rId_hyperlink_3812" Type="http://schemas.openxmlformats.org/officeDocument/2006/relationships/hyperlink" Target="https://optovikufa.ru/product/233782/blok-pitaniya-5v-2000ma-shteker-5525-dream-hd8865/" TargetMode="External"/><Relationship Id="rId_hyperlink_3813" Type="http://schemas.openxmlformats.org/officeDocument/2006/relationships/hyperlink" Target="https://optovikufa.ru/product/129655/blok-pitaniya-5v-2500ma-shteker-35h135mm-ot-apb18/" TargetMode="External"/><Relationship Id="rId_hyperlink_3814" Type="http://schemas.openxmlformats.org/officeDocument/2006/relationships/hyperlink" Target="https://optovikufa.ru/product/158871/blok-pitaniya-5v-2500ma-shteker-55h25mm-live-power-lp-33/" TargetMode="External"/><Relationship Id="rId_hyperlink_3815" Type="http://schemas.openxmlformats.org/officeDocument/2006/relationships/hyperlink" Target="https://optovikufa.ru/product/230552/blok-pitaniya-5v-2500ma-shteker-5525mm-ap-302-ot-apb19-belyy/" TargetMode="External"/><Relationship Id="rId_hyperlink_3816" Type="http://schemas.openxmlformats.org/officeDocument/2006/relationships/hyperlink" Target="https://optovikufa.ru/product/129656/blok-pitaniya-5v-2500ma-shteker-5525mm-chernyy-ot-apb19/" TargetMode="External"/><Relationship Id="rId_hyperlink_3817" Type="http://schemas.openxmlformats.org/officeDocument/2006/relationships/hyperlink" Target="https://optovikufa.ru/product/239079/blok-pitaniya-5v-3000ma-shteker-35h135mm-live-power-lp-31/" TargetMode="External"/><Relationship Id="rId_hyperlink_3818" Type="http://schemas.openxmlformats.org/officeDocument/2006/relationships/hyperlink" Target="https://optovikufa.ru/product/240871/blok-pitaniya-5v-3000ma-shteker-55h25mm-live-power-lp-185/" TargetMode="External"/><Relationship Id="rId_hyperlink_3819" Type="http://schemas.openxmlformats.org/officeDocument/2006/relationships/hyperlink" Target="https://optovikufa.ru/product/168088/blok-pitaniya-5v-3000ma-shteker-55h25mm-live-power-lp-27/" TargetMode="External"/><Relationship Id="rId_hyperlink_3820" Type="http://schemas.openxmlformats.org/officeDocument/2006/relationships/hyperlink" Target="https://optovikufa.ru/product/137548/blok-pitaniya-5v-3000ma-shteker-55h25mm-ot-apb46/" TargetMode="External"/><Relationship Id="rId_hyperlink_3821" Type="http://schemas.openxmlformats.org/officeDocument/2006/relationships/hyperlink" Target="https://optovikufa.ru/product/237449/blok-pitaniya-5v-3000ma-shteker-5525-dream-hd8865-3a/" TargetMode="External"/><Relationship Id="rId_hyperlink_3822" Type="http://schemas.openxmlformats.org/officeDocument/2006/relationships/hyperlink" Target="https://optovikufa.ru/product/131643/blok-pitaniya-6v-1000ma-shteker-35h135mm-ot-apb29/" TargetMode="External"/><Relationship Id="rId_hyperlink_3823" Type="http://schemas.openxmlformats.org/officeDocument/2006/relationships/hyperlink" Target="https://optovikufa.ru/product/131644/blok-pitaniya-6v-1000ma-shteker-55h25mm-ot-apb30/" TargetMode="External"/><Relationship Id="rId_hyperlink_3824" Type="http://schemas.openxmlformats.org/officeDocument/2006/relationships/hyperlink" Target="https://optovikufa.ru/product/240399/blok-pitaniya-6v-2000ma-shteker-40x17mm-live-power-lp-174/" TargetMode="External"/><Relationship Id="rId_hyperlink_3825" Type="http://schemas.openxmlformats.org/officeDocument/2006/relationships/hyperlink" Target="https://optovikufa.ru/product/234633/blok-pitaniya-6v-2000ma-shteker-55h25mm-live-power-lp-10/" TargetMode="External"/><Relationship Id="rId_hyperlink_3826" Type="http://schemas.openxmlformats.org/officeDocument/2006/relationships/hyperlink" Target="https://optovikufa.ru/product/240872/blok-pitaniya-6v-2000ma-shteker-55h25mm-live-power-lp-173/" TargetMode="External"/><Relationship Id="rId_hyperlink_3827" Type="http://schemas.openxmlformats.org/officeDocument/2006/relationships/hyperlink" Target="https://optovikufa.ru/product/158625/blok-pitaniya-6v-2000ma-shteker-55h25mm-ot-apb22/" TargetMode="External"/><Relationship Id="rId_hyperlink_3828" Type="http://schemas.openxmlformats.org/officeDocument/2006/relationships/hyperlink" Target="https://optovikufa.ru/product/240259/blok-pitaniya-6v-2000ma-shteker-55h25mm-zerro-620/" TargetMode="External"/><Relationship Id="rId_hyperlink_3829" Type="http://schemas.openxmlformats.org/officeDocument/2006/relationships/hyperlink" Target="https://optovikufa.ru/product/234073/blok-pitaniya-75v-2000ma-shteker-55h25mm-live-power-lp-104/" TargetMode="External"/><Relationship Id="rId_hyperlink_3830" Type="http://schemas.openxmlformats.org/officeDocument/2006/relationships/hyperlink" Target="https://optovikufa.ru/product/221027/blok-pitaniya-77v-500ma-shteker-55h25mm-mrm-power-77/" TargetMode="External"/><Relationship Id="rId_hyperlink_3831" Type="http://schemas.openxmlformats.org/officeDocument/2006/relationships/hyperlink" Target="https://optovikufa.ru/product/170239/blok-pitaniya-9v-1200ma-shteker-55h21mm-vd-927-ot-apb47/" TargetMode="External"/><Relationship Id="rId_hyperlink_3832" Type="http://schemas.openxmlformats.org/officeDocument/2006/relationships/hyperlink" Target="https://optovikufa.ru/product/170240/blok-pitaniya-9v-2000ma-shteker-55h21mm-vd-928-ot-apb48/" TargetMode="External"/><Relationship Id="rId_hyperlink_3833" Type="http://schemas.openxmlformats.org/officeDocument/2006/relationships/hyperlink" Target="https://optovikufa.ru/product/240260/blok-pitaniya-9v-2000ma-shteker-55h25mm-zerro-920/" TargetMode="External"/><Relationship Id="rId_hyperlink_3834" Type="http://schemas.openxmlformats.org/officeDocument/2006/relationships/hyperlink" Target="https://optovikufa.ru/product/230616/blok-pitaniya-9v-2000ma-shteker-55h25mm-afkas-nova-a-20/" TargetMode="External"/><Relationship Id="rId_hyperlink_3835" Type="http://schemas.openxmlformats.org/officeDocument/2006/relationships/hyperlink" Target="https://optovikufa.ru/product/240258/blok-pitaniya-9v-2000ma-shteker-55h25mm-dos-gold-d-13/" TargetMode="External"/><Relationship Id="rId_hyperlink_3836" Type="http://schemas.openxmlformats.org/officeDocument/2006/relationships/hyperlink" Target="https://optovikufa.ru/product/239193/blok-pitaniya-9v-2000ma-shteker-55h25mm-live-power-lp-161/" TargetMode="External"/><Relationship Id="rId_hyperlink_3837" Type="http://schemas.openxmlformats.org/officeDocument/2006/relationships/hyperlink" Target="https://optovikufa.ru/product/170242/blok-pitaniya-9v-2000ma-shteker-55h25mm-vd-932-ot-apb51/" TargetMode="External"/><Relationship Id="rId_hyperlink_3838" Type="http://schemas.openxmlformats.org/officeDocument/2006/relationships/hyperlink" Target="https://optovikufa.ru/product/241942/blok-pitaniya-9v-500ma-shteker-55h25mm-dos-gold-d-14/" TargetMode="External"/><Relationship Id="rId_hyperlink_3839" Type="http://schemas.openxmlformats.org/officeDocument/2006/relationships/hyperlink" Target="https://optovikufa.ru/product/242503/blok-pitaniya-125v-2000ma-shteker-55h25mm-ot-apb108/" TargetMode="External"/><Relationship Id="rId_hyperlink_3840" Type="http://schemas.openxmlformats.org/officeDocument/2006/relationships/hyperlink" Target="https://optovikufa.ru/product/242504/blok-pitaniya-126v-2000ma-shteker-55h25mm-ot-apb109/" TargetMode="External"/><Relationship Id="rId_hyperlink_3841" Type="http://schemas.openxmlformats.org/officeDocument/2006/relationships/hyperlink" Target="https://optovikufa.ru/product/242543/blok-pitaniya-12v-1000ma-shteker-55h21mm-live-power-sp-71/" TargetMode="External"/><Relationship Id="rId_hyperlink_3842" Type="http://schemas.openxmlformats.org/officeDocument/2006/relationships/hyperlink" Target="https://optovikufa.ru/product/168096/blok-pitaniya-12v-1000ma-shteker-55h25mm-live-power-lp-43/" TargetMode="External"/><Relationship Id="rId_hyperlink_3843" Type="http://schemas.openxmlformats.org/officeDocument/2006/relationships/hyperlink" Target="https://optovikufa.ru/product/127619/blok-pitaniya-12v-1000ma-shteker-55x21mm-chernyy-ot-apb42/" TargetMode="External"/><Relationship Id="rId_hyperlink_3844" Type="http://schemas.openxmlformats.org/officeDocument/2006/relationships/hyperlink" Target="https://optovikufa.ru/product/167010/blok-pitaniya-12v-1200ma-shteker-35h135mm-vd-929-ot-apb49/" TargetMode="External"/><Relationship Id="rId_hyperlink_3845" Type="http://schemas.openxmlformats.org/officeDocument/2006/relationships/hyperlink" Target="https://optovikufa.ru/product/225239/blok-pitaniya-12v-12500ma-shteker-55h25mm-ot-apb24-150vt/" TargetMode="External"/><Relationship Id="rId_hyperlink_3846" Type="http://schemas.openxmlformats.org/officeDocument/2006/relationships/hyperlink" Target="https://optovikufa.ru/product/168098/blok-pitaniya-12v-1500ma-shteker-55h25mm-live-power-lp-73/" TargetMode="External"/><Relationship Id="rId_hyperlink_3847" Type="http://schemas.openxmlformats.org/officeDocument/2006/relationships/hyperlink" Target="https://optovikufa.ru/product/242544/blok-pitaniya-12v-1500ma-shteker-55h25mm-live-power-sp-73/" TargetMode="External"/><Relationship Id="rId_hyperlink_3848" Type="http://schemas.openxmlformats.org/officeDocument/2006/relationships/hyperlink" Target="https://optovikufa.ru/product/241025/blok-pitaniya-12v-2000ma-shteker-55h25mm-hky67/" TargetMode="External"/><Relationship Id="rId_hyperlink_3849" Type="http://schemas.openxmlformats.org/officeDocument/2006/relationships/hyperlink" Target="https://optovikufa.ru/product/135431/blok-pitaniya-12v-2000ma-sdvoennyy-shteker-55x2540x17-rgb-315/" TargetMode="External"/><Relationship Id="rId_hyperlink_3850" Type="http://schemas.openxmlformats.org/officeDocument/2006/relationships/hyperlink" Target="https://optovikufa.ru/product/124495/blok-pitaniya-12v-2000ma-sdvoennyy-shteker-55x2540x17-rgb-325/" TargetMode="External"/><Relationship Id="rId_hyperlink_3851" Type="http://schemas.openxmlformats.org/officeDocument/2006/relationships/hyperlink" Target="https://optovikufa.ru/product/235906/blok-pitaniya-12v-2000ma-shteker-30x11mm-lp-108/" TargetMode="External"/><Relationship Id="rId_hyperlink_3852" Type="http://schemas.openxmlformats.org/officeDocument/2006/relationships/hyperlink" Target="https://optovikufa.ru/product/125463/blok-pitaniya-12v-2000ma-shteker-35h135mm-ot-apb50/" TargetMode="External"/><Relationship Id="rId_hyperlink_3853" Type="http://schemas.openxmlformats.org/officeDocument/2006/relationships/hyperlink" Target="https://optovikufa.ru/product/168097/blok-pitaniya-12v-2000ma-shteker-40x17mm-live-power-lp-63/" TargetMode="External"/><Relationship Id="rId_hyperlink_3854" Type="http://schemas.openxmlformats.org/officeDocument/2006/relationships/hyperlink" Target="https://optovikufa.ru/product/178454/blok-pitaniya-12v-2000ma-shteker-55h21mm/" TargetMode="External"/><Relationship Id="rId_hyperlink_3855" Type="http://schemas.openxmlformats.org/officeDocument/2006/relationships/hyperlink" Target="https://optovikufa.ru/product/236909/blok-pitaniya-12v-2000ma-shteker-55h25mm-40x17mm/" TargetMode="External"/><Relationship Id="rId_hyperlink_3856" Type="http://schemas.openxmlformats.org/officeDocument/2006/relationships/hyperlink" Target="https://optovikufa.ru/product/242494/blok-pitaniya-12v-2000ma-shteker-55h25mm-live-power-lp-196-belyy/" TargetMode="External"/><Relationship Id="rId_hyperlink_3857" Type="http://schemas.openxmlformats.org/officeDocument/2006/relationships/hyperlink" Target="https://optovikufa.ru/product/234991/blok-pitaniya-12v-2000ma-shteker-55h25mm-live-power-lp-30/" TargetMode="External"/><Relationship Id="rId_hyperlink_3858" Type="http://schemas.openxmlformats.org/officeDocument/2006/relationships/hyperlink" Target="https://optovikufa.ru/product/127621/blok-pitaniya-12v-2000ma-shteker-55h25mm-ot-apb84/" TargetMode="External"/><Relationship Id="rId_hyperlink_3859" Type="http://schemas.openxmlformats.org/officeDocument/2006/relationships/hyperlink" Target="https://optovikufa.ru/product/152202/blok-pitaniya-12v-2000ma-shteker-55h25mm-belyy-ot-apb31/" TargetMode="External"/><Relationship Id="rId_hyperlink_3860" Type="http://schemas.openxmlformats.org/officeDocument/2006/relationships/hyperlink" Target="https://optovikufa.ru/product/235257/blok-pitaniya-12v-2000ma-shteker-55h25mm-kreplenie-na-stenu-gl-12050/" TargetMode="External"/><Relationship Id="rId_hyperlink_3861" Type="http://schemas.openxmlformats.org/officeDocument/2006/relationships/hyperlink" Target="https://optovikufa.ru/product/219127/blok-pitaniya-12v-2000ma-shteker-55h25mm-kreplenie-na-stenu-ot-apb58/" TargetMode="External"/><Relationship Id="rId_hyperlink_3862" Type="http://schemas.openxmlformats.org/officeDocument/2006/relationships/hyperlink" Target="https://optovikufa.ru/product/237527/blok-pitaniya-12v-2500ma-shteker-35h135mm-live-power-lp-21/" TargetMode="External"/><Relationship Id="rId_hyperlink_3863" Type="http://schemas.openxmlformats.org/officeDocument/2006/relationships/hyperlink" Target="https://optovikufa.ru/product/168092/blok-pitaniya-12v-3000ma-shteker-55h25mm-kabel-pitaniya-c7-lp-360/" TargetMode="External"/><Relationship Id="rId_hyperlink_3864" Type="http://schemas.openxmlformats.org/officeDocument/2006/relationships/hyperlink" Target="https://optovikufa.ru/product/234990/blok-pitaniya-12v-3000ma-shteker-55h25mm-live-power-lp-224/" TargetMode="External"/><Relationship Id="rId_hyperlink_3865" Type="http://schemas.openxmlformats.org/officeDocument/2006/relationships/hyperlink" Target="https://optovikufa.ru/product/236502/blok-pitaniya-12v-3000ma-shteker-55h25mm-ydt-1230/" TargetMode="External"/><Relationship Id="rId_hyperlink_3866" Type="http://schemas.openxmlformats.org/officeDocument/2006/relationships/hyperlink" Target="https://optovikufa.ru/product/229859/blok-pitaniya-12v-3000ma-shteker-55h25mm-belyy-ot-apb41/" TargetMode="External"/><Relationship Id="rId_hyperlink_3867" Type="http://schemas.openxmlformats.org/officeDocument/2006/relationships/hyperlink" Target="https://optovikufa.ru/product/219126/blok-pitaniya-12v-38w-3000ma-shteker-55h25mm-ot-apb57-dlya-svetodiodnoy-lenty/" TargetMode="External"/><Relationship Id="rId_hyperlink_3868" Type="http://schemas.openxmlformats.org/officeDocument/2006/relationships/hyperlink" Target="https://optovikufa.ru/product/177680/blok-pitaniya-12v-4000ma-shteker-55h25mm-live-power-lp-354/" TargetMode="External"/><Relationship Id="rId_hyperlink_3869" Type="http://schemas.openxmlformats.org/officeDocument/2006/relationships/hyperlink" Target="https://optovikufa.ru/product/238323/blok-pitaniya-12v-5000ma-shteker-55h25mm-live-power-lp-179/" TargetMode="External"/><Relationship Id="rId_hyperlink_3870" Type="http://schemas.openxmlformats.org/officeDocument/2006/relationships/hyperlink" Target="https://optovikufa.ru/product/230553/blok-pitaniya-12v-5000ma-shteker-55h25mm-ot-apb37-belyy/" TargetMode="External"/><Relationship Id="rId_hyperlink_3871" Type="http://schemas.openxmlformats.org/officeDocument/2006/relationships/hyperlink" Target="https://optovikufa.ru/product/131646/blok-pitaniya-12v-5000ma-shteker-55h25mm-ot-apb37-chernyy/" TargetMode="External"/><Relationship Id="rId_hyperlink_3872" Type="http://schemas.openxmlformats.org/officeDocument/2006/relationships/hyperlink" Target="https://optovikufa.ru/product/168094/blok-pitaniya-12v-6000ma-shteker-55h25mm-live-power-lp-41/" TargetMode="External"/><Relationship Id="rId_hyperlink_3873" Type="http://schemas.openxmlformats.org/officeDocument/2006/relationships/hyperlink" Target="https://optovikufa.ru/product/158878/blok-pitaniya-17v-2000ma-shteker-55h25mm-lp-49/" TargetMode="External"/><Relationship Id="rId_hyperlink_3874" Type="http://schemas.openxmlformats.org/officeDocument/2006/relationships/hyperlink" Target="https://optovikufa.ru/product/178455/blok-pitaniya-17v-3000ma-shteker-55h25mm-live-power-lp-50/" TargetMode="External"/><Relationship Id="rId_hyperlink_3875" Type="http://schemas.openxmlformats.org/officeDocument/2006/relationships/hyperlink" Target="https://optovikufa.ru/product/158879/blok-pitaniya-17v-4000ma-shteker-55h25mm-live-power-lp-51/" TargetMode="External"/><Relationship Id="rId_hyperlink_3876" Type="http://schemas.openxmlformats.org/officeDocument/2006/relationships/hyperlink" Target="https://optovikufa.ru/product/177692/blok-pitaniya-19v-3420ma-28-nasadok-live-power-lp-520/" TargetMode="External"/><Relationship Id="rId_hyperlink_3877" Type="http://schemas.openxmlformats.org/officeDocument/2006/relationships/hyperlink" Target="https://optovikufa.ru/product/241783/blok-pitaniya-20v-3250ma-325a-shteker-5525mm-podhodit-dlya-yandeks-stancii-maks/" TargetMode="External"/><Relationship Id="rId_hyperlink_3878" Type="http://schemas.openxmlformats.org/officeDocument/2006/relationships/hyperlink" Target="https://optovikufa.ru/product/177679/blok-pitaniya-20v-4500ma-shteker-usb-live-power-lp-335/" TargetMode="External"/><Relationship Id="rId_hyperlink_3879" Type="http://schemas.openxmlformats.org/officeDocument/2006/relationships/hyperlink" Target="https://optovikufa.ru/product/230731/blok-pitaniya-24v-1000ma-shteker-55h25mm-sc-a241-lp-14/" TargetMode="External"/><Relationship Id="rId_hyperlink_3880" Type="http://schemas.openxmlformats.org/officeDocument/2006/relationships/hyperlink" Target="https://optovikufa.ru/product/219543/blok-pitaniya-24v-1200ma-shteker-55h25mm-ot-apb55/" TargetMode="External"/><Relationship Id="rId_hyperlink_3881" Type="http://schemas.openxmlformats.org/officeDocument/2006/relationships/hyperlink" Target="https://optovikufa.ru/product/240434/blok-pitaniya-24v-2000ma-shteker-55h25mm-ot-apb113-indikator-pitaniya/" TargetMode="External"/><Relationship Id="rId_hyperlink_3882" Type="http://schemas.openxmlformats.org/officeDocument/2006/relationships/hyperlink" Target="https://optovikufa.ru/product/158882/blok-pitaniya-24v-2000ma-shteker-55h25mm-live-power-lp-15-c7/" TargetMode="External"/><Relationship Id="rId_hyperlink_3883" Type="http://schemas.openxmlformats.org/officeDocument/2006/relationships/hyperlink" Target="https://optovikufa.ru/product/220126/blok-pitaniya-24v-2000ma-shteker-55h25mm-ot-apb56/" TargetMode="External"/><Relationship Id="rId_hyperlink_3884" Type="http://schemas.openxmlformats.org/officeDocument/2006/relationships/hyperlink" Target="https://optovikufa.ru/product/180426/blok-pitaniya-24v-3000ma-shteker-55h25mm-live-power-lp-16/" TargetMode="External"/><Relationship Id="rId_hyperlink_3885" Type="http://schemas.openxmlformats.org/officeDocument/2006/relationships/hyperlink" Target="https://optovikufa.ru/product/158883/blok-pitaniya-24v-4000ma-shteker-55h25mm-live-power-lp-17/" TargetMode="External"/><Relationship Id="rId_hyperlink_3886" Type="http://schemas.openxmlformats.org/officeDocument/2006/relationships/hyperlink" Target="https://optovikufa.ru/product/239830/blok-pitaniya-30v-3000ma-shteker-55h25mm-lp-38/" TargetMode="External"/><Relationship Id="rId_hyperlink_3887" Type="http://schemas.openxmlformats.org/officeDocument/2006/relationships/hyperlink" Target="https://optovikufa.ru/product/158885/blok-pitaniya-36v-2000ma-shteker-55h25mm-live-power-lp-60/" TargetMode="External"/><Relationship Id="rId_hyperlink_3888" Type="http://schemas.openxmlformats.org/officeDocument/2006/relationships/hyperlink" Target="https://optovikufa.ru/product/240965/blok-pitaniya-5v-2000ma-shteker-55h25mm/" TargetMode="External"/><Relationship Id="rId_hyperlink_3889" Type="http://schemas.openxmlformats.org/officeDocument/2006/relationships/hyperlink" Target="https://optovikufa.ru/product/234986/blok-pitaniya-5v-2000ma-shteker-55h25mm-lp-86/" TargetMode="External"/><Relationship Id="rId_hyperlink_3890" Type="http://schemas.openxmlformats.org/officeDocument/2006/relationships/hyperlink" Target="https://optovikufa.ru/product/242495/blok-pitaniya-6v-2000ma-shteker-55x25mm-live-power-lp-188/" TargetMode="External"/><Relationship Id="rId_hyperlink_3891" Type="http://schemas.openxmlformats.org/officeDocument/2006/relationships/hyperlink" Target="https://optovikufa.ru/product/240090/blok-pitaniya-6v-1500ma-shteker-40x17mm-vneshn-vnutr-dlya-tonometrov-live-power-lp-197/" TargetMode="External"/><Relationship Id="rId_hyperlink_3892" Type="http://schemas.openxmlformats.org/officeDocument/2006/relationships/hyperlink" Target="https://optovikufa.ru/product/237137/blok-pitaniya-9v-1000ma-shteker-55h25mm-vnut-vn-/" TargetMode="External"/><Relationship Id="rId_hyperlink_3893" Type="http://schemas.openxmlformats.org/officeDocument/2006/relationships/hyperlink" Target="https://optovikufa.ru/product/238028/blok-pitaniya-9v-2000ma-shteker-55h25mm-vnut-vn-/" TargetMode="External"/><Relationship Id="rId_hyperlink_3894" Type="http://schemas.openxmlformats.org/officeDocument/2006/relationships/hyperlink" Target="https://optovikufa.ru/product/237445/blok-pitaniya-12v-2000ma-gnezdo-prikurivatelya-dream-a2/" TargetMode="External"/><Relationship Id="rId_hyperlink_3895" Type="http://schemas.openxmlformats.org/officeDocument/2006/relationships/hyperlink" Target="https://optovikufa.ru/product/140715/blok-pitaniya-12v-2000ma-krokodily-ot-apz04/" TargetMode="External"/><Relationship Id="rId_hyperlink_3896" Type="http://schemas.openxmlformats.org/officeDocument/2006/relationships/hyperlink" Target="https://optovikufa.ru/product/241786/blok-pitaniya-12v-15a-na-gnezdo-prikurivatelya-lp183/" TargetMode="External"/><Relationship Id="rId_hyperlink_3897" Type="http://schemas.openxmlformats.org/officeDocument/2006/relationships/hyperlink" Target="https://optovikufa.ru/product/222597/zaryadnoe-ustroystvo-2xaaa-2xaa-6f22-avtomaticheskoe-smartbuy-sbhc-503/" TargetMode="External"/><Relationship Id="rId_hyperlink_3898" Type="http://schemas.openxmlformats.org/officeDocument/2006/relationships/hyperlink" Target="https://optovikufa.ru/product/222598/zaryadnoe-ustroystvo-4xaaa-4xaa-2x6f22-avtomaticheskoe-smartbuy-sbhc-505/" TargetMode="External"/><Relationship Id="rId_hyperlink_3899" Type="http://schemas.openxmlformats.org/officeDocument/2006/relationships/hyperlink" Target="https://optovikufa.ru/product/232688/zaryadnoe-ustroystvo-kodak-c8001b-usb-k2aaaaa/" TargetMode="External"/><Relationship Id="rId_hyperlink_3900" Type="http://schemas.openxmlformats.org/officeDocument/2006/relationships/hyperlink" Target="https://optovikufa.ru/product/232689/zaryadnoe-ustroystvo-kodak-c8002b-usb-k4aaaaa/" TargetMode="External"/><Relationship Id="rId_hyperlink_3901" Type="http://schemas.openxmlformats.org/officeDocument/2006/relationships/hyperlink" Target="https://optovikufa.ru/product/231810/zaryadnoe-ustroystvo-perfeo-pf-vn-420-4aaaaa/" TargetMode="External"/><Relationship Id="rId_hyperlink_3902" Type="http://schemas.openxmlformats.org/officeDocument/2006/relationships/hyperlink" Target="https://optovikufa.ru/product/231811/zaryadnoe-ustroystvo-perfeo-pf-vn-421-taymer-4aaaaa9v/" TargetMode="External"/><Relationship Id="rId_hyperlink_3903" Type="http://schemas.openxmlformats.org/officeDocument/2006/relationships/hyperlink" Target="https://optovikufa.ru/product/179379/zaryadnoe-ustroystvo-kosmos-kos-5012haaaaa-9v/" TargetMode="External"/><Relationship Id="rId_hyperlink_3904" Type="http://schemas.openxmlformats.org/officeDocument/2006/relationships/hyperlink" Target="https://optovikufa.ru/product/242202/zaryadnoe-ustroystvo-kosmos-kos-803usb1-4-aaaaa-pitanie-ot-usb-shnur/" TargetMode="External"/><Relationship Id="rId_hyperlink_3905" Type="http://schemas.openxmlformats.org/officeDocument/2006/relationships/hyperlink" Target="https://optovikufa.ru/product/242203/zaryadnoe-ustroystvo-kosmos-kos-901usb1-2-aaaaa-pitanie-ot-usb-shnur-avtomat/" TargetMode="External"/><Relationship Id="rId_hyperlink_3906" Type="http://schemas.openxmlformats.org/officeDocument/2006/relationships/hyperlink" Target="https://optovikufa.ru/product/240567/zaryadnoe-ustroystvo-18650-hd-088a-hong-dong/" TargetMode="External"/><Relationship Id="rId_hyperlink_3907" Type="http://schemas.openxmlformats.org/officeDocument/2006/relationships/hyperlink" Target="https://optovikufa.ru/product/220129/zaryadnoe-ustroystvo-18650-liitokala-na-2-akkum-220-12v-usb-lii-300/" TargetMode="External"/><Relationship Id="rId_hyperlink_3908" Type="http://schemas.openxmlformats.org/officeDocument/2006/relationships/hyperlink" Target="https://optovikufa.ru/product/219128/zaryadnoe-ustroystvo-18650-liitokala-na-4-akkum-220-12v-usb-lii-500/" TargetMode="External"/><Relationship Id="rId_hyperlink_3909" Type="http://schemas.openxmlformats.org/officeDocument/2006/relationships/hyperlink" Target="https://optovikufa.ru/product/222599/zaryadnoe-ustroystvo-18650-17335-14500-1650017650-smartbuy-sbhc-511/" TargetMode="External"/><Relationship Id="rId_hyperlink_3910" Type="http://schemas.openxmlformats.org/officeDocument/2006/relationships/hyperlink" Target="https://optovikufa.ru/product/229560/zaryadnoe-ustroystvo-18650-indikator-zaryada-na-1-akkumulyator/" TargetMode="External"/><Relationship Id="rId_hyperlink_3911" Type="http://schemas.openxmlformats.org/officeDocument/2006/relationships/hyperlink" Target="https://optovikufa.ru/product/229566/zaryadnoe-ustroystvo-18650-indikator-zaryada-na-1-akkumulyator-ot-apz15/" TargetMode="External"/><Relationship Id="rId_hyperlink_3912" Type="http://schemas.openxmlformats.org/officeDocument/2006/relationships/hyperlink" Target="https://optovikufa.ru/product/229564/zaryadnoe-ustroystvo-18650-indikator-zaryada-na-2-akkumulyatora-ot-apz13/" TargetMode="External"/><Relationship Id="rId_hyperlink_3913" Type="http://schemas.openxmlformats.org/officeDocument/2006/relationships/hyperlink" Target="https://optovikufa.ru/product/229567/zaryadnoe-ustroystvo-18650-indikator-zaryada-na-2-akkumulyatora-ot-apz16/" TargetMode="External"/><Relationship Id="rId_hyperlink_3914" Type="http://schemas.openxmlformats.org/officeDocument/2006/relationships/hyperlink" Target="https://optovikufa.ru/product/229561/zaryadnoe-ustroystvo-18650-indikator-zaryada-na-3-akkumulyatora/" TargetMode="External"/><Relationship Id="rId_hyperlink_3915" Type="http://schemas.openxmlformats.org/officeDocument/2006/relationships/hyperlink" Target="https://optovikufa.ru/product/229562/zaryadnoe-ustroystvo-18650-indikator-zaryada-na-4-akkumulyatora-ot-apz11/" TargetMode="External"/><Relationship Id="rId_hyperlink_3916" Type="http://schemas.openxmlformats.org/officeDocument/2006/relationships/hyperlink" Target="https://optovikufa.ru/product/229565/zaryadnoe-ustroystvo-18650-indikator-zaryada-na-4-akkumulyatora-ot-apz14/" TargetMode="External"/><Relationship Id="rId_hyperlink_3917" Type="http://schemas.openxmlformats.org/officeDocument/2006/relationships/hyperlink" Target="https://optovikufa.ru/product/231333/zaryadnoe-ustroystvo-smartbuy-sbhc-513-18650/" TargetMode="External"/><Relationship Id="rId_hyperlink_3918" Type="http://schemas.openxmlformats.org/officeDocument/2006/relationships/hyperlink" Target="https://optovikufa.ru/product/227382/zaryadnoe-ustroystvo-dlya-18650-16340-14500-na-1-akkumulyator-hd-8846/" TargetMode="External"/><Relationship Id="rId_hyperlink_3919" Type="http://schemas.openxmlformats.org/officeDocument/2006/relationships/hyperlink" Target="https://optovikufa.ru/product/229177/zaryadnoe-ustroystvo-dlya-18650-16340-14500-na-2-akkumulyatora-lp-8829/" TargetMode="External"/><Relationship Id="rId_hyperlink_3920" Type="http://schemas.openxmlformats.org/officeDocument/2006/relationships/hyperlink" Target="https://optovikufa.ru/product/242498/zaryadnoe-ustroystvo-dlya-18650-16340-14500-na-4-akkumulyatora-s-displeem-lp-8060/" TargetMode="External"/><Relationship Id="rId_hyperlink_3921" Type="http://schemas.openxmlformats.org/officeDocument/2006/relationships/hyperlink" Target="https://optovikufa.ru/product/220873/zaryadnoe-ustroystvo-dlya-18650-26650-16340-14500-na-2-akkumulyatora-hd-8863/" TargetMode="External"/><Relationship Id="rId_hyperlink_3922" Type="http://schemas.openxmlformats.org/officeDocument/2006/relationships/hyperlink" Target="https://optovikufa.ru/product/242136/zaryadnoe-ustroystvo-dlya-akkumulyatora-lp80308830-18650-na-4-slota/" TargetMode="External"/><Relationship Id="rId_hyperlink_3923" Type="http://schemas.openxmlformats.org/officeDocument/2006/relationships/hyperlink" Target="https://optovikufa.ru/product/241321/zaryadnoe-ustroystvo-dlya-akkumulyatorov-hd-132650-2670026650186501450016340-na-1-slot/" TargetMode="External"/><Relationship Id="rId_hyperlink_3924" Type="http://schemas.openxmlformats.org/officeDocument/2006/relationships/hyperlink" Target="https://optovikufa.ru/product/237826/zaryadnoe-ustroystvo-dlya-akkumulyatorov-hd-232650-2670026650186501450016340-na-2-slota/" TargetMode="External"/><Relationship Id="rId_hyperlink_3925" Type="http://schemas.openxmlformats.org/officeDocument/2006/relationships/hyperlink" Target="https://optovikufa.ru/product/223219/zaryadnoe-ustroystvo-dlya-akkumulyatorov-ot-apz07-indikator-zaryada-na-2-akkum-1865026650/" TargetMode="External"/><Relationship Id="rId_hyperlink_3926" Type="http://schemas.openxmlformats.org/officeDocument/2006/relationships/hyperlink" Target="https://optovikufa.ru/product/227009/zaryadnoe-ustroystvo-dlya-akkumulyatorov-ot-apz08-indikator-zaryada-na-1-akkum/" TargetMode="External"/><Relationship Id="rId_hyperlink_3927" Type="http://schemas.openxmlformats.org/officeDocument/2006/relationships/hyperlink" Target="https://optovikufa.ru/product/235916/zaryadnoe-ustroystvo-dlya-akkumulyatorov-na-2-slota-18650-26650-displey-lp-8090/" TargetMode="External"/><Relationship Id="rId_hyperlink_3928" Type="http://schemas.openxmlformats.org/officeDocument/2006/relationships/hyperlink" Target="https://optovikufa.ru/product/235915/zaryadnoe-ustroystvo-dlya-akkumulyatorov-na-4-slota-14500-18650-26650-displey-lp8070-hd-8992a/" TargetMode="External"/><Relationship Id="rId_hyperlink_3929" Type="http://schemas.openxmlformats.org/officeDocument/2006/relationships/hyperlink" Target="https://optovikufa.ru/product/217370/zaryadnoe-ustroystvo-dlya-akkumulyatorov-orbita-04u-ot-apz03/" TargetMode="External"/><Relationship Id="rId_hyperlink_3930" Type="http://schemas.openxmlformats.org/officeDocument/2006/relationships/hyperlink" Target="https://optovikufa.ru/product/242100/kabel-audio-35-jack-3-rca-dzhett-15m/" TargetMode="External"/><Relationship Id="rId_hyperlink_3931" Type="http://schemas.openxmlformats.org/officeDocument/2006/relationships/hyperlink" Target="https://optovikufa.ru/product/220874/szu-dlya-akkumulyatorov-dream-hd-8866-usb-266500-18650-14500-16340/" TargetMode="External"/><Relationship Id="rId_hyperlink_3932" Type="http://schemas.openxmlformats.org/officeDocument/2006/relationships/hyperlink" Target="https://optovikufa.ru/product/234988/blok-pitaniya-126v-2000ma-shteker-55h25mm-kontroller-zaryada-live-power-lp-116/" TargetMode="External"/><Relationship Id="rId_hyperlink_3933" Type="http://schemas.openxmlformats.org/officeDocument/2006/relationships/hyperlink" Target="https://optovikufa.ru/product/234993/blok-pitaniya-168v-1000ma-shteker-55h25mm-kontroller-zaryada-live-power-lp-117/" TargetMode="External"/><Relationship Id="rId_hyperlink_3934" Type="http://schemas.openxmlformats.org/officeDocument/2006/relationships/hyperlink" Target="https://optovikufa.ru/product/174486/zaryadnoe-ustroystvo-robiton-la2612-600-dlya-akkum-ov-2v-6v-12v-zaryadnyy-tok-600ma/" TargetMode="External"/><Relationship Id="rId_hyperlink_3935" Type="http://schemas.openxmlformats.org/officeDocument/2006/relationships/hyperlink" Target="https://optovikufa.ru/product/230838/zaryadnoe-ustroystvo-robiton-lac12-500-dlya-akkum-ov-12v-zaryadnyy-tok-500ma/" TargetMode="External"/><Relationship Id="rId_hyperlink_3936" Type="http://schemas.openxmlformats.org/officeDocument/2006/relationships/hyperlink" Target="https://optovikufa.ru/product/219915/zaryadnoe-ustroystvo-robiton-lac612-1000-dlya-akkum-ov-6v-12v-zaryadnyy-tok-1000ma-emkostyu-45ach-14ach/" TargetMode="External"/><Relationship Id="rId_hyperlink_3937" Type="http://schemas.openxmlformats.org/officeDocument/2006/relationships/hyperlink" Target="https://optovikufa.ru/product/233484/kabel-audio-din-5-pin-2rca-shteker-shteker-15m/" TargetMode="External"/><Relationship Id="rId_hyperlink_3938" Type="http://schemas.openxmlformats.org/officeDocument/2006/relationships/hyperlink" Target="https://optovikufa.ru/product/233485/kabel-audio-din-5-pin-35-jack-shteker-shteker-15m/" TargetMode="External"/><Relationship Id="rId_hyperlink_3939" Type="http://schemas.openxmlformats.org/officeDocument/2006/relationships/hyperlink" Target="https://optovikufa.ru/product/241743/kabel-audio-din-5-pin-35-jack-shteker-shteker-gold-15m/" TargetMode="External"/><Relationship Id="rId_hyperlink_3940" Type="http://schemas.openxmlformats.org/officeDocument/2006/relationships/hyperlink" Target="https://optovikufa.ru/product/234964/kabel-audio-shteker-5din-shteker-5din-15m/" TargetMode="External"/><Relationship Id="rId_hyperlink_3941" Type="http://schemas.openxmlformats.org/officeDocument/2006/relationships/hyperlink" Target="https://optovikufa.ru/product/226977/kabel-audio-shteker-5din-shteker-5din-1m/" TargetMode="External"/><Relationship Id="rId_hyperlink_3942" Type="http://schemas.openxmlformats.org/officeDocument/2006/relationships/hyperlink" Target="https://optovikufa.ru/product/242547/kabel-audio-63-jack-63-jack-2pin-shteker-shteker-3m-dream-au01/" TargetMode="External"/><Relationship Id="rId_hyperlink_3943" Type="http://schemas.openxmlformats.org/officeDocument/2006/relationships/hyperlink" Target="https://optovikufa.ru/product/241261/kabel-audio-35-jack-35-jack-147-cvetnoy-fosfornyy-1m-5/" TargetMode="External"/><Relationship Id="rId_hyperlink_3944" Type="http://schemas.openxmlformats.org/officeDocument/2006/relationships/hyperlink" Target="https://optovikufa.ru/product/241042/kabel-audio-35-jack-35-jack-15m-uglovoy-chernyy-mr/" TargetMode="External"/><Relationship Id="rId_hyperlink_3945" Type="http://schemas.openxmlformats.org/officeDocument/2006/relationships/hyperlink" Target="https://optovikufa.ru/product/242282/kabel-audio-35-jack-35-jack-15m-materchatyy-shteker-metall-jd-373-5/" TargetMode="External"/><Relationship Id="rId_hyperlink_3946" Type="http://schemas.openxmlformats.org/officeDocument/2006/relationships/hyperlink" Target="https://optovikufa.ru/product/242280/kabel-audio-35-jack-35-jack-15m-silikonovyy-shteker-metall-jd-128-5/" TargetMode="External"/><Relationship Id="rId_hyperlink_3947" Type="http://schemas.openxmlformats.org/officeDocument/2006/relationships/hyperlink" Target="https://optovikufa.ru/product/242281/kabel-audio-35-jack-35-jack-1m-materchatyy-shteker-metall-jd-295-5/" TargetMode="External"/><Relationship Id="rId_hyperlink_3948" Type="http://schemas.openxmlformats.org/officeDocument/2006/relationships/hyperlink" Target="https://optovikufa.ru/product/242283/kabel-audio-35-jack-35-jack-2m-silikonovyy-shteker-metall-jd-458-5/" TargetMode="External"/><Relationship Id="rId_hyperlink_3949" Type="http://schemas.openxmlformats.org/officeDocument/2006/relationships/hyperlink" Target="https://optovikufa.ru/product/222262/kabel-audio-35-jack-35-jack-5m-belyy-krouss/" TargetMode="External"/><Relationship Id="rId_hyperlink_3950" Type="http://schemas.openxmlformats.org/officeDocument/2006/relationships/hyperlink" Target="https://optovikufa.ru/product/241014/kabel-audio-35-jack-35-jack-ax10-1m-belyy/" TargetMode="External"/><Relationship Id="rId_hyperlink_3951" Type="http://schemas.openxmlformats.org/officeDocument/2006/relationships/hyperlink" Target="https://optovikufa.ru/product/236915/kabel-audio-35-jack-35-jack-ax10-1m-chernyy/" TargetMode="External"/><Relationship Id="rId_hyperlink_3952" Type="http://schemas.openxmlformats.org/officeDocument/2006/relationships/hyperlink" Target="https://optovikufa.ru/product/239219/kabel-audio-35-jack-35-jack-ax16-1m-seryy/" TargetMode="External"/><Relationship Id="rId_hyperlink_3953" Type="http://schemas.openxmlformats.org/officeDocument/2006/relationships/hyperlink" Target="https://optovikufa.ru/product/242302/kabel-audio-35-jack-35-jack-borofone-bl10-1m-belyy/" TargetMode="External"/><Relationship Id="rId_hyperlink_3954" Type="http://schemas.openxmlformats.org/officeDocument/2006/relationships/hyperlink" Target="https://optovikufa.ru/product/231458/kabel-audio-35-jack-35-jack-borofone-bl6-belyy/" TargetMode="External"/><Relationship Id="rId_hyperlink_3955" Type="http://schemas.openxmlformats.org/officeDocument/2006/relationships/hyperlink" Target="https://optovikufa.ru/product/240199/kabel-audio-35-jack-35-jack-carlive-ax09-1m-belyy/" TargetMode="External"/><Relationship Id="rId_hyperlink_3956" Type="http://schemas.openxmlformats.org/officeDocument/2006/relationships/hyperlink" Target="https://optovikufa.ru/product/240200/kabel-audio-35-jack-35-jack-carlive-ax09-2m-belyy/" TargetMode="External"/><Relationship Id="rId_hyperlink_3957" Type="http://schemas.openxmlformats.org/officeDocument/2006/relationships/hyperlink" Target="https://optovikufa.ru/product/224904/kabel-audio-35-jack-35-jack-dream-jd237-1m-chernyy/" TargetMode="External"/><Relationship Id="rId_hyperlink_3958" Type="http://schemas.openxmlformats.org/officeDocument/2006/relationships/hyperlink" Target="https://optovikufa.ru/product/224907/kabel-audio-35-jack-35-jack-dream-jd238-18m-chernyy/" TargetMode="External"/><Relationship Id="rId_hyperlink_3959" Type="http://schemas.openxmlformats.org/officeDocument/2006/relationships/hyperlink" Target="https://optovikufa.ru/product/231756/kabel-audio-35-jack-35-jack-dream-ky76-15m-chernyy/" TargetMode="External"/><Relationship Id="rId_hyperlink_3960" Type="http://schemas.openxmlformats.org/officeDocument/2006/relationships/hyperlink" Target="https://optovikufa.ru/product/223287/kabel-audio-35-jack-35-jack-dream-ky76-1m-chernyy/" TargetMode="External"/><Relationship Id="rId_hyperlink_3961" Type="http://schemas.openxmlformats.org/officeDocument/2006/relationships/hyperlink" Target="https://optovikufa.ru/product/239395/kabel-audio-35-jack-35-jack-hoco-upa15-s-mikrofonom-seryy/" TargetMode="External"/><Relationship Id="rId_hyperlink_3962" Type="http://schemas.openxmlformats.org/officeDocument/2006/relationships/hyperlink" Target="https://optovikufa.ru/product/241529/kabel-audio-35-jack-35-jack-hoco-upa19-1m-zelenyy/" TargetMode="External"/><Relationship Id="rId_hyperlink_3963" Type="http://schemas.openxmlformats.org/officeDocument/2006/relationships/hyperlink" Target="https://optovikufa.ru/product/242305/kabel-audio-35-jack-35-jack-hoco-upa19-1m-serebro/" TargetMode="External"/><Relationship Id="rId_hyperlink_3964" Type="http://schemas.openxmlformats.org/officeDocument/2006/relationships/hyperlink" Target="https://optovikufa.ru/product/234290/kabel-audio-35-jack-35-jack-jd-503/" TargetMode="External"/><Relationship Id="rId_hyperlink_3965" Type="http://schemas.openxmlformats.org/officeDocument/2006/relationships/hyperlink" Target="https://optovikufa.ru/product/239483/kabel-audio-35-jack-35-jack-jd-526-uglovoy-upak5sht/" TargetMode="External"/><Relationship Id="rId_hyperlink_3966" Type="http://schemas.openxmlformats.org/officeDocument/2006/relationships/hyperlink" Target="https://optovikufa.ru/product/241055/kabel-audio-35-jack-35-jack-smartbuy-1m-a-35-35-blue-neylonovaya-opletka/" TargetMode="External"/><Relationship Id="rId_hyperlink_3967" Type="http://schemas.openxmlformats.org/officeDocument/2006/relationships/hyperlink" Target="https://optovikufa.ru/product/241054/kabel-audio-35-jack-35-jack-smartbuy-1m-a-35-35-red-neylonovaya-opletka/" TargetMode="External"/><Relationship Id="rId_hyperlink_3968" Type="http://schemas.openxmlformats.org/officeDocument/2006/relationships/hyperlink" Target="https://optovikufa.ru/product/140608/kabel-audio-35-jack-35-jack-dzhett-15m/" TargetMode="External"/><Relationship Id="rId_hyperlink_3969" Type="http://schemas.openxmlformats.org/officeDocument/2006/relationships/hyperlink" Target="https://optovikufa.ru/product/131242/kabel-audio-35-jack-35-jack-dzhett-3m/" TargetMode="External"/><Relationship Id="rId_hyperlink_3970" Type="http://schemas.openxmlformats.org/officeDocument/2006/relationships/hyperlink" Target="https://optovikufa.ru/product/136651/kabel-audio-35-jack-35-jack-dzhett-5m/" TargetMode="External"/><Relationship Id="rId_hyperlink_3971" Type="http://schemas.openxmlformats.org/officeDocument/2006/relationships/hyperlink" Target="https://optovikufa.ru/product/233649/kabel-audio-35-jack-35-jack-signal-1m/" TargetMode="External"/><Relationship Id="rId_hyperlink_3972" Type="http://schemas.openxmlformats.org/officeDocument/2006/relationships/hyperlink" Target="https://optovikufa.ru/product/233652/kabel-audio-35-jack-35-jack-signal-5m/" TargetMode="External"/><Relationship Id="rId_hyperlink_3973" Type="http://schemas.openxmlformats.org/officeDocument/2006/relationships/hyperlink" Target="https://optovikufa.ru/product/239024/kabel-audio-35-jack-35-jack-uglovoy-shteker-1m-ax17-carlive/" TargetMode="External"/><Relationship Id="rId_hyperlink_3974" Type="http://schemas.openxmlformats.org/officeDocument/2006/relationships/hyperlink" Target="https://optovikufa.ru/product/239025/kabel-audio-35-jack-35-jack-uglovoy-shteker-2m-ax17-carlive/" TargetMode="External"/><Relationship Id="rId_hyperlink_3975" Type="http://schemas.openxmlformats.org/officeDocument/2006/relationships/hyperlink" Target="https://optovikufa.ru/product/238437/kabel-audio-premium-35jack-35jack-aux-shteker-shteker-15-metra-mg/" TargetMode="External"/><Relationship Id="rId_hyperlink_3976" Type="http://schemas.openxmlformats.org/officeDocument/2006/relationships/hyperlink" Target="https://optovikufa.ru/product/242080/kabel-audio-35-jack-35-plug-3pin-shteker-gnezdo-3m-dream-ft01/" TargetMode="External"/><Relationship Id="rId_hyperlink_3977" Type="http://schemas.openxmlformats.org/officeDocument/2006/relationships/hyperlink" Target="https://optovikufa.ru/product/238438/kabel-audio-35-jack-35-plug-3pin-shteker-gnezdo-15m-metall-fgm/" TargetMode="External"/><Relationship Id="rId_hyperlink_3978" Type="http://schemas.openxmlformats.org/officeDocument/2006/relationships/hyperlink" Target="https://optovikufa.ru/product/131276/kabel-audio-35-jack-35-plug-3pin-shteker-gnezdo-dzhett-3m-nt-3014/" TargetMode="External"/><Relationship Id="rId_hyperlink_3979" Type="http://schemas.openxmlformats.org/officeDocument/2006/relationships/hyperlink" Target="https://optovikufa.ru/product/131274/kabel-audio-35-jack-35-plug-3pin-shteker-gnezdo-dzhett-5m-nt-3014/" TargetMode="External"/><Relationship Id="rId_hyperlink_3980" Type="http://schemas.openxmlformats.org/officeDocument/2006/relationships/hyperlink" Target="https://optovikufa.ru/product/136650/kabel-audio-35-jack-35-plug-3pin-shteker-gnezdo-dzhett-7m-nt-3014/" TargetMode="External"/><Relationship Id="rId_hyperlink_3981" Type="http://schemas.openxmlformats.org/officeDocument/2006/relationships/hyperlink" Target="https://optovikufa.ru/product/239388/kabel-audio-35-jack-35-plug-hoco-upa20-seryy/" TargetMode="External"/><Relationship Id="rId_hyperlink_3982" Type="http://schemas.openxmlformats.org/officeDocument/2006/relationships/hyperlink" Target="https://optovikufa.ru/product/218805/kabel-audio-35-jack-2-rca-15m-dream/" TargetMode="External"/><Relationship Id="rId_hyperlink_3983" Type="http://schemas.openxmlformats.org/officeDocument/2006/relationships/hyperlink" Target="https://optovikufa.ru/product/178550/kabel-audio-35-jack-2-rca-5m-ot-avc35/" TargetMode="External"/><Relationship Id="rId_hyperlink_3984" Type="http://schemas.openxmlformats.org/officeDocument/2006/relationships/hyperlink" Target="https://optovikufa.ru/product/227633/kabel-audio-35-jack-2-rca-av-15m/" TargetMode="External"/><Relationship Id="rId_hyperlink_3985" Type="http://schemas.openxmlformats.org/officeDocument/2006/relationships/hyperlink" Target="https://optovikufa.ru/product/174536/kabel-audio-35-jack-2-rca-ot-avc42-2m-/" TargetMode="External"/><Relationship Id="rId_hyperlink_3986" Type="http://schemas.openxmlformats.org/officeDocument/2006/relationships/hyperlink" Target="https://optovikufa.ru/product/129032/kabel-audio-35-jack-2-rca-dzhett-1m-nt-3017a/" TargetMode="External"/><Relationship Id="rId_hyperlink_3987" Type="http://schemas.openxmlformats.org/officeDocument/2006/relationships/hyperlink" Target="https://optovikufa.ru/product/136649/kabel-audio-35-jack-2-rca-dzhett-5m-nt-3017a/" TargetMode="External"/><Relationship Id="rId_hyperlink_3988" Type="http://schemas.openxmlformats.org/officeDocument/2006/relationships/hyperlink" Target="https://optovikufa.ru/product/218806/kabel-audio-35-jack-3-rca-15m-dream/" TargetMode="External"/><Relationship Id="rId_hyperlink_3989" Type="http://schemas.openxmlformats.org/officeDocument/2006/relationships/hyperlink" Target="https://optovikufa.ru/product/241011/kabel-audio-35-jack-3-rca-15m-pozolochennye-nakonechniki/" TargetMode="External"/><Relationship Id="rId_hyperlink_3990" Type="http://schemas.openxmlformats.org/officeDocument/2006/relationships/hyperlink" Target="https://optovikufa.ru/product/223588/kabel-audio-35-jack-3-rca-no-name-15m/" TargetMode="External"/><Relationship Id="rId_hyperlink_3991" Type="http://schemas.openxmlformats.org/officeDocument/2006/relationships/hyperlink" Target="https://optovikufa.ru/product/237163/kabel-audio-35-jack-3-rca-no-name-3m/" TargetMode="External"/><Relationship Id="rId_hyperlink_3992" Type="http://schemas.openxmlformats.org/officeDocument/2006/relationships/hyperlink" Target="https://optovikufa.ru/product/237164/kabel-audio-35-jack-3-rca-no-name-5m/" TargetMode="External"/><Relationship Id="rId_hyperlink_3993" Type="http://schemas.openxmlformats.org/officeDocument/2006/relationships/hyperlink" Target="https://optovikufa.ru/product/227360/kabel-audio-35-jack-3-rca-dzhett-15m/" TargetMode="External"/><Relationship Id="rId_hyperlink_3994" Type="http://schemas.openxmlformats.org/officeDocument/2006/relationships/hyperlink" Target="https://optovikufa.ru/product/224112/kabel-audio-35-jack-3-rca-dzhett-3m/" TargetMode="External"/><Relationship Id="rId_hyperlink_3995" Type="http://schemas.openxmlformats.org/officeDocument/2006/relationships/hyperlink" Target="https://optovikufa.ru/product/224111/kabel-audio-35-jack-3-rca-dzhett-5m/" TargetMode="External"/><Relationship Id="rId_hyperlink_3996" Type="http://schemas.openxmlformats.org/officeDocument/2006/relationships/hyperlink" Target="https://optovikufa.ru/product/136662/kabel-audio-dzhett-35-jack-2rca-3m-rexant-nt-3017a/" TargetMode="External"/><Relationship Id="rId_hyperlink_3997" Type="http://schemas.openxmlformats.org/officeDocument/2006/relationships/hyperlink" Target="https://optovikufa.ru/product/137268/kabel-audio-opticheskiy-toslink-toslink-15m/" TargetMode="External"/><Relationship Id="rId_hyperlink_3998" Type="http://schemas.openxmlformats.org/officeDocument/2006/relationships/hyperlink" Target="https://optovikufa.ru/product/237526/kabel-audio-opticheskiy-toslink-toslink-5m/" TargetMode="External"/><Relationship Id="rId_hyperlink_3999" Type="http://schemas.openxmlformats.org/officeDocument/2006/relationships/hyperlink" Target="https://optovikufa.ru/product/234396/kabel-audio-opticheskiy-toslink-toslink-if01-15m/" TargetMode="External"/><Relationship Id="rId_hyperlink_4000" Type="http://schemas.openxmlformats.org/officeDocument/2006/relationships/hyperlink" Target="https://optovikufa.ru/product/137267/kabel-audio-opticheskiy-toslink-toslink-nt-7016c-1m/" TargetMode="External"/><Relationship Id="rId_hyperlink_4001" Type="http://schemas.openxmlformats.org/officeDocument/2006/relationships/hyperlink" Target="https://optovikufa.ru/product/239952/kabel-audio-xlr-3pin-gnezdo-635-jack-2pin-mono-shteker-3m-elastichnyy/" TargetMode="External"/><Relationship Id="rId_hyperlink_4002" Type="http://schemas.openxmlformats.org/officeDocument/2006/relationships/hyperlink" Target="https://optovikufa.ru/product/239925/kabel-audio-xlr-3pin-shteker-gnezdo-15m-elastichnyy/" TargetMode="External"/><Relationship Id="rId_hyperlink_4003" Type="http://schemas.openxmlformats.org/officeDocument/2006/relationships/hyperlink" Target="https://optovikufa.ru/product/239926/kabel-audio-xlr-3pin-shteker-gnezdo-3m-elastichnyy/" TargetMode="External"/><Relationship Id="rId_hyperlink_4004" Type="http://schemas.openxmlformats.org/officeDocument/2006/relationships/hyperlink" Target="https://optovikufa.ru/product/226023/perehodnik-35-jack-2-x-35-plug-3rin-shteker-2-gnezda-dream-jd88/" TargetMode="External"/><Relationship Id="rId_hyperlink_4005" Type="http://schemas.openxmlformats.org/officeDocument/2006/relationships/hyperlink" Target="https://optovikufa.ru/product/136656/perehodnik-35-jack-2-x-35-plug-3rin-shteker-2-gnezda-plastik-cn-1121-t-1730b-upak5sht/" TargetMode="External"/><Relationship Id="rId_hyperlink_4006" Type="http://schemas.openxmlformats.org/officeDocument/2006/relationships/hyperlink" Target="https://optovikufa.ru/product/233030/perehodnik-35-jack-2-x-35-plug-02m/" TargetMode="External"/><Relationship Id="rId_hyperlink_4007" Type="http://schemas.openxmlformats.org/officeDocument/2006/relationships/hyperlink" Target="https://optovikufa.ru/product/229689/perehodnik-35-jack-2-x-35-plug-4rin-shteker-2-gnezda-ky57-5/" TargetMode="External"/><Relationship Id="rId_hyperlink_4008" Type="http://schemas.openxmlformats.org/officeDocument/2006/relationships/hyperlink" Target="https://optovikufa.ru/product/136634/perehodnik-35-jack-2rca-plug-3pin-shteker-2-gnezda-plastik-dzhett/" TargetMode="External"/><Relationship Id="rId_hyperlink_4009" Type="http://schemas.openxmlformats.org/officeDocument/2006/relationships/hyperlink" Target="https://optovikufa.ru/product/242165/perehodnik-35-jack-2rca-plug-4pin-shteker-2-gnezda-h17-2/" TargetMode="External"/><Relationship Id="rId_hyperlink_4010" Type="http://schemas.openxmlformats.org/officeDocument/2006/relationships/hyperlink" Target="https://optovikufa.ru/product/153983/perehodnik-63-jack-2rca-plug-3pin-shteker-2-gnezda-plastik-cn-1116-upak5sht/" TargetMode="External"/><Relationship Id="rId_hyperlink_4011" Type="http://schemas.openxmlformats.org/officeDocument/2006/relationships/hyperlink" Target="https://optovikufa.ru/product/153981/perehodnik-63-jack-rca-2pin-shteker-gnezdo-5/" TargetMode="External"/><Relationship Id="rId_hyperlink_4012" Type="http://schemas.openxmlformats.org/officeDocument/2006/relationships/hyperlink" Target="https://optovikufa.ru/product/136654/perehodnik-35-jack-63-plug-t-1791b-zoloto/" TargetMode="External"/><Relationship Id="rId_hyperlink_4013" Type="http://schemas.openxmlformats.org/officeDocument/2006/relationships/hyperlink" Target="https://optovikufa.ru/product/231550/perehodnik-63-jack-35-plug-3pin-shteker-gnezdo-metall-gold/" TargetMode="External"/><Relationship Id="rId_hyperlink_4014" Type="http://schemas.openxmlformats.org/officeDocument/2006/relationships/hyperlink" Target="https://optovikufa.ru/product/136658/perehodnik-63-jack-35-plug-3pin-shteker-gnezdo-plastik-5/" TargetMode="External"/><Relationship Id="rId_hyperlink_4015" Type="http://schemas.openxmlformats.org/officeDocument/2006/relationships/hyperlink" Target="https://optovikufa.ru/product/241992/perehodnik-jack-63-ts-2pin-rca-gnezdo-shteker-5/" TargetMode="External"/><Relationship Id="rId_hyperlink_4016" Type="http://schemas.openxmlformats.org/officeDocument/2006/relationships/hyperlink" Target="https://optovikufa.ru/product/242340/perehodnik-jack-63-ts-2pin-rca-shteker-gnezdo/" TargetMode="External"/><Relationship Id="rId_hyperlink_4017" Type="http://schemas.openxmlformats.org/officeDocument/2006/relationships/hyperlink" Target="https://optovikufa.ru/product/238434/kabel-audiovideo-2rca-2rca-15m/" TargetMode="External"/><Relationship Id="rId_hyperlink_4018" Type="http://schemas.openxmlformats.org/officeDocument/2006/relationships/hyperlink" Target="https://optovikufa.ru/product/227688/kabel-audiovideo-2rca-2rca-15m/" TargetMode="External"/><Relationship Id="rId_hyperlink_4019" Type="http://schemas.openxmlformats.org/officeDocument/2006/relationships/hyperlink" Target="https://optovikufa.ru/product/218802/kabel-audiovideo-2rca-2rca-15m-dream/" TargetMode="External"/><Relationship Id="rId_hyperlink_4020" Type="http://schemas.openxmlformats.org/officeDocument/2006/relationships/hyperlink" Target="https://optovikufa.ru/product/122453/kabel-audiovideo-2rca-2rca-3m/" TargetMode="External"/><Relationship Id="rId_hyperlink_4021" Type="http://schemas.openxmlformats.org/officeDocument/2006/relationships/hyperlink" Target="https://optovikufa.ru/product/140604/kabel-audiovideo-2rca-2rca-dzhett-15m/" TargetMode="External"/><Relationship Id="rId_hyperlink_4022" Type="http://schemas.openxmlformats.org/officeDocument/2006/relationships/hyperlink" Target="https://optovikufa.ru/product/140605/kabel-audiovideo-2rca-2rca-dzhett-3m/" TargetMode="External"/><Relationship Id="rId_hyperlink_4023" Type="http://schemas.openxmlformats.org/officeDocument/2006/relationships/hyperlink" Target="https://optovikufa.ru/product/122456/kabel-audiovideo-3rca-3rca-12m/" TargetMode="External"/><Relationship Id="rId_hyperlink_4024" Type="http://schemas.openxmlformats.org/officeDocument/2006/relationships/hyperlink" Target="https://optovikufa.ru/product/218803/kabel-audiovideo-3rca-3rca-15m-dream/" TargetMode="External"/><Relationship Id="rId_hyperlink_4025" Type="http://schemas.openxmlformats.org/officeDocument/2006/relationships/hyperlink" Target="https://optovikufa.ru/product/131530/kabel-audiovideo-3rca-3rca-10m-av14-a374/" TargetMode="External"/><Relationship Id="rId_hyperlink_4026" Type="http://schemas.openxmlformats.org/officeDocument/2006/relationships/hyperlink" Target="https://optovikufa.ru/product/122745/kabel-audiovideo-3rca-3rca-smarttrack-15m-ka-131/" TargetMode="External"/><Relationship Id="rId_hyperlink_4027" Type="http://schemas.openxmlformats.org/officeDocument/2006/relationships/hyperlink" Target="https://optovikufa.ru/product/122747/kabel-audiovideo-3rca-3rca-smarttrack-5m-ka-135/" TargetMode="External"/><Relationship Id="rId_hyperlink_4028" Type="http://schemas.openxmlformats.org/officeDocument/2006/relationships/hyperlink" Target="https://optovikufa.ru/product/131241/kabel-audiovideo-3rca-3rca-dzhett-12m-ck-8027/" TargetMode="External"/><Relationship Id="rId_hyperlink_4029" Type="http://schemas.openxmlformats.org/officeDocument/2006/relationships/hyperlink" Target="https://optovikufa.ru/product/122479/kabel-audiovideo-3rca-3rca-dzhett-15m-ck-8027/" TargetMode="External"/><Relationship Id="rId_hyperlink_4030" Type="http://schemas.openxmlformats.org/officeDocument/2006/relationships/hyperlink" Target="https://optovikufa.ru/product/136640/kabel-audiovideo-3rca-3rca-dzhett-18m-ck-8027/" TargetMode="External"/><Relationship Id="rId_hyperlink_4031" Type="http://schemas.openxmlformats.org/officeDocument/2006/relationships/hyperlink" Target="https://optovikufa.ru/product/177226/kabel-audiovideo-3rca-3rca-dzhett-1m/" TargetMode="External"/><Relationship Id="rId_hyperlink_4032" Type="http://schemas.openxmlformats.org/officeDocument/2006/relationships/hyperlink" Target="https://optovikufa.ru/product/140607/kabel-audiovideo-4rca-4rca-dzhett-15m/" TargetMode="External"/><Relationship Id="rId_hyperlink_4033" Type="http://schemas.openxmlformats.org/officeDocument/2006/relationships/hyperlink" Target="https://optovikufa.ru/product/234978/kabel-hdmi-dvi-shteker-shteker-2m-s4-1920x1080/" TargetMode="External"/><Relationship Id="rId_hyperlink_4034" Type="http://schemas.openxmlformats.org/officeDocument/2006/relationships/hyperlink" Target="https://optovikufa.ru/product/227687/kabel-audiovideo-hdmi-hdmi-075m/" TargetMode="External"/><Relationship Id="rId_hyperlink_4035" Type="http://schemas.openxmlformats.org/officeDocument/2006/relationships/hyperlink" Target="https://optovikufa.ru/product/241952/kabel-audiovideo-hdmi-hdmi-10m-rezinovyy-v-pakete-ep-50849/" TargetMode="External"/><Relationship Id="rId_hyperlink_4036" Type="http://schemas.openxmlformats.org/officeDocument/2006/relationships/hyperlink" Target="https://optovikufa.ru/product/235273/kabel-audiovideo-hdmi-hdmi-10m-chernyy/" TargetMode="External"/><Relationship Id="rId_hyperlink_4037" Type="http://schemas.openxmlformats.org/officeDocument/2006/relationships/hyperlink" Target="https://optovikufa.ru/product/238721/kabel-audiovideo-hdmi-hdmi-15m-opletka-ep/" TargetMode="External"/><Relationship Id="rId_hyperlink_4038" Type="http://schemas.openxmlformats.org/officeDocument/2006/relationships/hyperlink" Target="https://optovikufa.ru/product/235252/kabel-audiovideo-hdmi-hdmi-15m-chernyy/" TargetMode="External"/><Relationship Id="rId_hyperlink_4039" Type="http://schemas.openxmlformats.org/officeDocument/2006/relationships/hyperlink" Target="https://optovikufa.ru/product/238722/kabel-audiovideo-hdmi-hdmi-20m-opletka-ep/" TargetMode="External"/><Relationship Id="rId_hyperlink_4040" Type="http://schemas.openxmlformats.org/officeDocument/2006/relationships/hyperlink" Target="https://optovikufa.ru/product/235253/kabel-audiovideo-hdmi-hdmi-20m-chernyy/" TargetMode="External"/><Relationship Id="rId_hyperlink_4041" Type="http://schemas.openxmlformats.org/officeDocument/2006/relationships/hyperlink" Target="https://optovikufa.ru/product/235254/kabel-audiovideo-hdmi-hdmi-25m/" TargetMode="External"/><Relationship Id="rId_hyperlink_4042" Type="http://schemas.openxmlformats.org/officeDocument/2006/relationships/hyperlink" Target="https://optovikufa.ru/product/238723/kabel-audiovideo-hdmi-hdmi-25m-opletka-ep/" TargetMode="External"/><Relationship Id="rId_hyperlink_4043" Type="http://schemas.openxmlformats.org/officeDocument/2006/relationships/hyperlink" Target="https://optovikufa.ru/product/235255/kabel-audiovideo-hdmi-hdmi-30m/" TargetMode="External"/><Relationship Id="rId_hyperlink_4044" Type="http://schemas.openxmlformats.org/officeDocument/2006/relationships/hyperlink" Target="https://optovikufa.ru/product/238724/kabel-audiovideo-hdmi-hdmi-30m-opletka-ep/" TargetMode="External"/><Relationship Id="rId_hyperlink_4045" Type="http://schemas.openxmlformats.org/officeDocument/2006/relationships/hyperlink" Target="https://optovikufa.ru/product/176808/kabel-audiovideo-hdmi-hdmi-5m-opletka/" TargetMode="External"/><Relationship Id="rId_hyperlink_4046" Type="http://schemas.openxmlformats.org/officeDocument/2006/relationships/hyperlink" Target="https://optovikufa.ru/product/177078/kabel-audiovideo-hdmi-hdmi-5m-chernyy/" TargetMode="External"/><Relationship Id="rId_hyperlink_4047" Type="http://schemas.openxmlformats.org/officeDocument/2006/relationships/hyperlink" Target="https://optovikufa.ru/product/129068/kabel-audiovideo-hdmi-hdmi-defender-3m-hdmi-10-pro/" TargetMode="External"/><Relationship Id="rId_hyperlink_4048" Type="http://schemas.openxmlformats.org/officeDocument/2006/relationships/hyperlink" Target="https://optovikufa.ru/product/238784/kabel-audiovideo-hdmi-hdmi-hdtv-20-4k2k-versiya-20-5m-ep/" TargetMode="External"/><Relationship Id="rId_hyperlink_4049" Type="http://schemas.openxmlformats.org/officeDocument/2006/relationships/hyperlink" Target="https://optovikufa.ru/product/231854/kabel-audiovideo-hdmi-hdmi-mrm-power-20m-opletka/" TargetMode="External"/><Relationship Id="rId_hyperlink_4050" Type="http://schemas.openxmlformats.org/officeDocument/2006/relationships/hyperlink" Target="https://optovikufa.ru/product/233350/kabel-audiovideo-hdmi-hdmi-dzhett-07m/" TargetMode="External"/><Relationship Id="rId_hyperlink_4051" Type="http://schemas.openxmlformats.org/officeDocument/2006/relationships/hyperlink" Target="https://optovikufa.ru/product/159078/kabel-audiovideo-hdmi-hdmi-dzhett-15m/" TargetMode="External"/><Relationship Id="rId_hyperlink_4052" Type="http://schemas.openxmlformats.org/officeDocument/2006/relationships/hyperlink" Target="https://optovikufa.ru/product/129842/kabel-audiovideo-hdmi-hdmi-dzhett-2m/" TargetMode="External"/><Relationship Id="rId_hyperlink_4053" Type="http://schemas.openxmlformats.org/officeDocument/2006/relationships/hyperlink" Target="https://optovikufa.ru/product/129844/kabel-audiovideo-hdmi-hdmi-dzhett-5m/" TargetMode="External"/><Relationship Id="rId_hyperlink_4054" Type="http://schemas.openxmlformats.org/officeDocument/2006/relationships/hyperlink" Target="https://optovikufa.ru/product/129845/kabel-audiovideo-hdmi-hdmi-dzhett-7m/" TargetMode="External"/><Relationship Id="rId_hyperlink_4055" Type="http://schemas.openxmlformats.org/officeDocument/2006/relationships/hyperlink" Target="https://optovikufa.ru/product/224109/kabel-audiovideo-hdmi-hdmi-dzhett-dlya-ultra-hd-4k-8k-60hz-high-speed-versiya-20-15m/" TargetMode="External"/><Relationship Id="rId_hyperlink_4056" Type="http://schemas.openxmlformats.org/officeDocument/2006/relationships/hyperlink" Target="https://optovikufa.ru/product/224110/kabel-audiovideo-hdmi-hdmi-dzhett-dlya-ultra-hd-4k-8k-60hz-high-speed-versiya-20-2m/" TargetMode="External"/><Relationship Id="rId_hyperlink_4057" Type="http://schemas.openxmlformats.org/officeDocument/2006/relationships/hyperlink" Target="https://optovikufa.ru/product/229435/kabel-audiovideo-hdmi-hdmi-dzhett-dlya-ultra-hd-4k-8k-60hz-high-speed-versiya-20-3m/" TargetMode="External"/><Relationship Id="rId_hyperlink_4058" Type="http://schemas.openxmlformats.org/officeDocument/2006/relationships/hyperlink" Target="https://optovikufa.ru/product/129930/kabel-audiovideo-hdmi-hdmi-dzhett-uglovoy-15m/" TargetMode="External"/><Relationship Id="rId_hyperlink_4059" Type="http://schemas.openxmlformats.org/officeDocument/2006/relationships/hyperlink" Target="https://optovikufa.ru/product/129837/kabel-audiovideo-hdmi-hdmi-dzhett-uglovoy-3m/" TargetMode="External"/><Relationship Id="rId_hyperlink_4060" Type="http://schemas.openxmlformats.org/officeDocument/2006/relationships/hyperlink" Target="https://optovikufa.ru/product/129839/kabel-audiovideo-hdmi-microhdmi-dzhett-3m/" TargetMode="External"/><Relationship Id="rId_hyperlink_4061" Type="http://schemas.openxmlformats.org/officeDocument/2006/relationships/hyperlink" Target="https://optovikufa.ru/product/229720/kabel-audiovideo-hdmi-minihdmi-dialog-hc-a1418-18m/" TargetMode="External"/><Relationship Id="rId_hyperlink_4062" Type="http://schemas.openxmlformats.org/officeDocument/2006/relationships/hyperlink" Target="https://optovikufa.ru/product/129841/kabel-audiovideo-hdmi-minihdmi-dzhett-3m/" TargetMode="External"/><Relationship Id="rId_hyperlink_4063" Type="http://schemas.openxmlformats.org/officeDocument/2006/relationships/hyperlink" Target="https://optovikufa.ru/product/239818/kabel-audiovideo-udlinitel-n208-hdmi-hdmi-5m-gnezdo-shteker/" TargetMode="External"/><Relationship Id="rId_hyperlink_4064" Type="http://schemas.openxmlformats.org/officeDocument/2006/relationships/hyperlink" Target="https://optovikufa.ru/product/149953/kabel-audiovideo-scart-2rca-dzhett-3m-nt-6004/" TargetMode="External"/><Relationship Id="rId_hyperlink_4065" Type="http://schemas.openxmlformats.org/officeDocument/2006/relationships/hyperlink" Target="https://optovikufa.ru/product/237779/kabel-audiovideo-scart-3rca-15m-bez-pereklyuchatelya-sk15/" TargetMode="External"/><Relationship Id="rId_hyperlink_4066" Type="http://schemas.openxmlformats.org/officeDocument/2006/relationships/hyperlink" Target="https://optovikufa.ru/product/233295/kabel-audiovideo-scart-3rca-s-pereklyuchatelem-15-m/" TargetMode="External"/><Relationship Id="rId_hyperlink_4067" Type="http://schemas.openxmlformats.org/officeDocument/2006/relationships/hyperlink" Target="https://optovikufa.ru/product/136660/kabel-audiovideo-scart-4rca-dzhett-15m-nt-6010/" TargetMode="External"/><Relationship Id="rId_hyperlink_4068" Type="http://schemas.openxmlformats.org/officeDocument/2006/relationships/hyperlink" Target="https://optovikufa.ru/product/136659/kabel-audiovideo-scart-4rca-dzhett-1m-nt-6010/" TargetMode="External"/><Relationship Id="rId_hyperlink_4069" Type="http://schemas.openxmlformats.org/officeDocument/2006/relationships/hyperlink" Target="https://optovikufa.ru/product/136641/kabel-audiovideo-scart-4rca-dzhett-3m-nt-6010/" TargetMode="External"/><Relationship Id="rId_hyperlink_4070" Type="http://schemas.openxmlformats.org/officeDocument/2006/relationships/hyperlink" Target="https://optovikufa.ru/product/153972/kabel-video-svideo-svideo-dzhett-2m/" TargetMode="External"/><Relationship Id="rId_hyperlink_4071" Type="http://schemas.openxmlformats.org/officeDocument/2006/relationships/hyperlink" Target="https://optovikufa.ru/product/241613/kabel-vga-vga-shteker-shteker-15m-v306/" TargetMode="External"/><Relationship Id="rId_hyperlink_4072" Type="http://schemas.openxmlformats.org/officeDocument/2006/relationships/hyperlink" Target="https://optovikufa.ru/product/227703/kabel-vga-vga-shteker-shteker-15m/" TargetMode="External"/><Relationship Id="rId_hyperlink_4073" Type="http://schemas.openxmlformats.org/officeDocument/2006/relationships/hyperlink" Target="https://optovikufa.ru/product/241612/kabel-vga-vga-shteker-shteker-15m/" TargetMode="External"/><Relationship Id="rId_hyperlink_4074" Type="http://schemas.openxmlformats.org/officeDocument/2006/relationships/hyperlink" Target="https://optovikufa.ru/product/148845/kabel-vga-vga-shteker-shteker-10m/" TargetMode="External"/><Relationship Id="rId_hyperlink_4075" Type="http://schemas.openxmlformats.org/officeDocument/2006/relationships/hyperlink" Target="https://optovikufa.ru/product/241352/kabel-vga-vga-shteker-shteker-10m-ep/" TargetMode="External"/><Relationship Id="rId_hyperlink_4076" Type="http://schemas.openxmlformats.org/officeDocument/2006/relationships/hyperlink" Target="https://optovikufa.ru/product/237162/kabel-vga-vga-shteker-shteker-15m-ep/" TargetMode="External"/><Relationship Id="rId_hyperlink_4077" Type="http://schemas.openxmlformats.org/officeDocument/2006/relationships/hyperlink" Target="https://optovikufa.ru/product/238023/konverter-perehodnik-mini-av2hdmi-vhod-input-3rca-gnezdo-vyhod-output-hdmi-gnezdo-ot-avw52/" TargetMode="External"/><Relationship Id="rId_hyperlink_4078" Type="http://schemas.openxmlformats.org/officeDocument/2006/relationships/hyperlink" Target="https://optovikufa.ru/product/236888/konverter-perehodnik-mini-av2hdmi-vhod-input-3rca-gnezdo-vyhod-output-hdmi-gnezdo-chernyy/" TargetMode="External"/><Relationship Id="rId_hyperlink_4079" Type="http://schemas.openxmlformats.org/officeDocument/2006/relationships/hyperlink" Target="https://optovikufa.ru/product/234954/konverter-perehodnik-mini-av2vga-vhod-input-3rca-gnezdo-vyhod-output-vga-gnezdo/" TargetMode="External"/><Relationship Id="rId_hyperlink_4080" Type="http://schemas.openxmlformats.org/officeDocument/2006/relationships/hyperlink" Target="https://optovikufa.ru/product/236890/konverter-perehodnik-mini-av2vga-vhod-input-3rca-gnezdo-vyhod-output-vga-gnezdo-belyy/" TargetMode="External"/><Relationship Id="rId_hyperlink_4081" Type="http://schemas.openxmlformats.org/officeDocument/2006/relationships/hyperlink" Target="https://optovikufa.ru/product/226378/konverter-perehodnik-mini-hdmi2av-vhod-input-hdmi-gnezdo-vyhod-output-3rca-gnezdo/" TargetMode="External"/><Relationship Id="rId_hyperlink_4082" Type="http://schemas.openxmlformats.org/officeDocument/2006/relationships/hyperlink" Target="https://optovikufa.ru/product/238022/konverter-perehodnik-mini-hdmi2av-vhod-input-hdmi-gnezdo-vyhod-output-3rca-gnezdo-ot-avw51/" TargetMode="External"/><Relationship Id="rId_hyperlink_4083" Type="http://schemas.openxmlformats.org/officeDocument/2006/relationships/hyperlink" Target="https://optovikufa.ru/product/158870/konverter-perehodnik-mini-hdmi2av-vhod-input-hdmi-gnezdo-vyhod-output-3rca-gnezdo-belyy/" TargetMode="External"/><Relationship Id="rId_hyperlink_4084" Type="http://schemas.openxmlformats.org/officeDocument/2006/relationships/hyperlink" Target="https://optovikufa.ru/product/221470/konverter-perehodnik-mini-hdmi2vga-vhod-input-hdmi-gnezdo-vyhod-output-vga-gnezdo-belyy/" TargetMode="External"/><Relationship Id="rId_hyperlink_4085" Type="http://schemas.openxmlformats.org/officeDocument/2006/relationships/hyperlink" Target="https://optovikufa.ru/product/227442/konverter-perehodnik-mini-hdmi2vga-vhod-input-hdmi-gnezdo-vyhod-output-vga-gnezdo-chernyy/" TargetMode="External"/><Relationship Id="rId_hyperlink_4086" Type="http://schemas.openxmlformats.org/officeDocument/2006/relationships/hyperlink" Target="https://optovikufa.ru/product/233044/konverter-perehodnik-mini-vga2av-vhod-input-vga-gnezdo-vyhod-output-3rca-gnezdo/" TargetMode="External"/><Relationship Id="rId_hyperlink_4087" Type="http://schemas.openxmlformats.org/officeDocument/2006/relationships/hyperlink" Target="https://optovikufa.ru/product/236891/konverter-perehodnik-mini-vga2av-vhod-input-vga-gnezdo-vyhod-output-3rca-gnezdo-belyy/" TargetMode="External"/><Relationship Id="rId_hyperlink_4088" Type="http://schemas.openxmlformats.org/officeDocument/2006/relationships/hyperlink" Target="https://optovikufa.ru/product/242994/konverter-perehodnik-mini-vga2hdmi-v-korobke-ep/" TargetMode="External"/><Relationship Id="rId_hyperlink_4089" Type="http://schemas.openxmlformats.org/officeDocument/2006/relationships/hyperlink" Target="https://optovikufa.ru/product/230697/konverter-perehodnik-mini-vga2hdmi-vhod-input-vga-gnezdo-vyhod-output-hdmi-gnezdo/" TargetMode="External"/><Relationship Id="rId_hyperlink_4090" Type="http://schemas.openxmlformats.org/officeDocument/2006/relationships/hyperlink" Target="https://optovikufa.ru/product/236889/konverter-perehodnik-mini-vga2hdmi-vhod-input-vga-gnezdo-vyhod-output-hdmi-gnezdo-belyy/" TargetMode="External"/><Relationship Id="rId_hyperlink_4091" Type="http://schemas.openxmlformats.org/officeDocument/2006/relationships/hyperlink" Target="https://optovikufa.ru/product/227413/konverter-perehodnik-vga-na-hdmi-hwh-2058/" TargetMode="External"/><Relationship Id="rId_hyperlink_4092" Type="http://schemas.openxmlformats.org/officeDocument/2006/relationships/hyperlink" Target="https://optovikufa.ru/product/135364/perehodnik-1rca-2rca-gnezdo-2gnezda-upak5sht/" TargetMode="External"/><Relationship Id="rId_hyperlink_4093" Type="http://schemas.openxmlformats.org/officeDocument/2006/relationships/hyperlink" Target="https://optovikufa.ru/product/235667/perehodnik-displayport-dvi-i-shteker-gnezdo-h37/" TargetMode="External"/><Relationship Id="rId_hyperlink_4094" Type="http://schemas.openxmlformats.org/officeDocument/2006/relationships/hyperlink" Target="https://optovikufa.ru/product/226946/perehodnik-displayport-mini-dvi-idual-shteker-gnezdo-telecom-015m-ta6050/" TargetMode="External"/><Relationship Id="rId_hyperlink_4095" Type="http://schemas.openxmlformats.org/officeDocument/2006/relationships/hyperlink" Target="https://optovikufa.ru/product/226948/perehodnik-displayport-mini-hdmi-shteker-gnezdo-vcom-015m-vhd6055/" TargetMode="External"/><Relationship Id="rId_hyperlink_4096" Type="http://schemas.openxmlformats.org/officeDocument/2006/relationships/hyperlink" Target="https://optovikufa.ru/product/235669/perehodnik-displayport-mini-hdmi-shteker-gnezdo-h98/" TargetMode="External"/><Relationship Id="rId_hyperlink_4097" Type="http://schemas.openxmlformats.org/officeDocument/2006/relationships/hyperlink" Target="https://optovikufa.ru/product/233289/perehodnik-dvi-hdmi-shteker-gnezdo-hdmi-f-to-dvi-d-241/" TargetMode="External"/><Relationship Id="rId_hyperlink_4098" Type="http://schemas.openxmlformats.org/officeDocument/2006/relationships/hyperlink" Target="https://optovikufa.ru/product/235346/perehodnik-dvi-vga-shteker-gnezdo-vga-fdvi-m-dvi-d-245-chernyy/" TargetMode="External"/><Relationship Id="rId_hyperlink_4099" Type="http://schemas.openxmlformats.org/officeDocument/2006/relationships/hyperlink" Target="https://optovikufa.ru/product/233287/perehodnik-hdmi-dvi-gnezdo-shteker-hdmi-f-to-dvi-idual-245/" TargetMode="External"/><Relationship Id="rId_hyperlink_4100" Type="http://schemas.openxmlformats.org/officeDocument/2006/relationships/hyperlink" Target="https://optovikufa.ru/product/242488/perehodnik-hdmi-f-hdmi-f-90-h171h175/" TargetMode="External"/><Relationship Id="rId_hyperlink_4101" Type="http://schemas.openxmlformats.org/officeDocument/2006/relationships/hyperlink" Target="https://optovikufa.ru/product/234626/perehodnik-hdmi-hdmi-gnezdo-gnezdo-dlya-soedineniya-hdmi-kabeley/" TargetMode="External"/><Relationship Id="rId_hyperlink_4102" Type="http://schemas.openxmlformats.org/officeDocument/2006/relationships/hyperlink" Target="https://optovikufa.ru/product/235180/perehodnik-hdmi-hdmi-shteker-gnezdo-10sm/" TargetMode="External"/><Relationship Id="rId_hyperlink_4103" Type="http://schemas.openxmlformats.org/officeDocument/2006/relationships/hyperlink" Target="https://optovikufa.ru/product/236493/perehodnik-hdmi-hdmi-shteker-shteker/" TargetMode="External"/><Relationship Id="rId_hyperlink_4104" Type="http://schemas.openxmlformats.org/officeDocument/2006/relationships/hyperlink" Target="https://optovikufa.ru/product/141242/perehodnik-hdmi-microhdmi-gnezdo-shteker/" TargetMode="External"/><Relationship Id="rId_hyperlink_4105" Type="http://schemas.openxmlformats.org/officeDocument/2006/relationships/hyperlink" Target="https://optovikufa.ru/product/239253/perehodnik-hdmi-microhdmi-minihdmi-gnezdo-shteker-shteker/" TargetMode="External"/><Relationship Id="rId_hyperlink_4106" Type="http://schemas.openxmlformats.org/officeDocument/2006/relationships/hyperlink" Target="https://optovikufa.ru/product/238127/perehodnik-hdmi-minihdmi-gnezdo-shteker/" TargetMode="External"/><Relationship Id="rId_hyperlink_4107" Type="http://schemas.openxmlformats.org/officeDocument/2006/relationships/hyperlink" Target="https://optovikufa.ru/product/237776/perehodnik-hdmi-minihdmi-gnezdo-shteker/" TargetMode="External"/><Relationship Id="rId_hyperlink_4108" Type="http://schemas.openxmlformats.org/officeDocument/2006/relationships/hyperlink" Target="https://optovikufa.ru/product/234632/perehodnik-hdmi-rj45-dlya-udliniteley-po-vitoy-pare-komplekt-2sht-h201-he30/" TargetMode="External"/><Relationship Id="rId_hyperlink_4109" Type="http://schemas.openxmlformats.org/officeDocument/2006/relationships/hyperlink" Target="https://optovikufa.ru/product/218672/perehodnik-hdmi-vga-dream-ad1-belyy/" TargetMode="External"/><Relationship Id="rId_hyperlink_4110" Type="http://schemas.openxmlformats.org/officeDocument/2006/relationships/hyperlink" Target="https://optovikufa.ru/product/218673/perehodnik-hdmi-vga-dream-drm-ad2-belyy/" TargetMode="External"/><Relationship Id="rId_hyperlink_4111" Type="http://schemas.openxmlformats.org/officeDocument/2006/relationships/hyperlink" Target="https://optovikufa.ru/product/168075/perehodnik-hdmi-vga-s-razemom-microusb/" TargetMode="External"/><Relationship Id="rId_hyperlink_4112" Type="http://schemas.openxmlformats.org/officeDocument/2006/relationships/hyperlink" Target="https://optovikufa.ru/product/125559/perehodnik-hdmi-vgaaux-plastikovyy-boks-ot-avw20/" TargetMode="External"/><Relationship Id="rId_hyperlink_4113" Type="http://schemas.openxmlformats.org/officeDocument/2006/relationships/hyperlink" Target="https://optovikufa.ru/product/168074/perehodnik-hdmi-vga-h118-chernyy/" TargetMode="External"/><Relationship Id="rId_hyperlink_4114" Type="http://schemas.openxmlformats.org/officeDocument/2006/relationships/hyperlink" Target="https://optovikufa.ru/product/235344/perehodnik-hdmi-vga-h119-belyy/" TargetMode="External"/><Relationship Id="rId_hyperlink_4115" Type="http://schemas.openxmlformats.org/officeDocument/2006/relationships/hyperlink" Target="https://optovikufa.ru/product/234955/perehodnik-hdmi-vga-belyy-ep/" TargetMode="External"/><Relationship Id="rId_hyperlink_4116" Type="http://schemas.openxmlformats.org/officeDocument/2006/relationships/hyperlink" Target="https://optovikufa.ru/product/168162/perehodnik-hdmi-vga-aux-s-vneshnim-pitaniem-ep-chernyy/" TargetMode="External"/><Relationship Id="rId_hyperlink_4117" Type="http://schemas.openxmlformats.org/officeDocument/2006/relationships/hyperlink" Target="https://optovikufa.ru/product/239180/perehodnik-hdtv-vga-h180-belyy/" TargetMode="External"/><Relationship Id="rId_hyperlink_4118" Type="http://schemas.openxmlformats.org/officeDocument/2006/relationships/hyperlink" Target="https://optovikufa.ru/product/233284/perehodnik-mini-displayport-vga-shteker-gnezdo/" TargetMode="External"/><Relationship Id="rId_hyperlink_4119" Type="http://schemas.openxmlformats.org/officeDocument/2006/relationships/hyperlink" Target="https://optovikufa.ru/product/147718/perehodnik-scart-3rca-shteker-3-gnezda-dream/" TargetMode="External"/><Relationship Id="rId_hyperlink_4120" Type="http://schemas.openxmlformats.org/officeDocument/2006/relationships/hyperlink" Target="https://optovikufa.ru/product/123937/perehodnik-scart-3rca-shteker-3-gnezda-s-pereklyuchatelem-dzhett/" TargetMode="External"/><Relationship Id="rId_hyperlink_4121" Type="http://schemas.openxmlformats.org/officeDocument/2006/relationships/hyperlink" Target="https://optovikufa.ru/product/153982/perehodnik-scart-3rca-svideo-4pin-shteker-3-gnezda-gnezdo-perkl-vhod-vyhod-sn-5042/" TargetMode="External"/><Relationship Id="rId_hyperlink_4122" Type="http://schemas.openxmlformats.org/officeDocument/2006/relationships/hyperlink" Target="https://optovikufa.ru/product/237018/perehodnik-vga-hdmiaux-pitanie-h01/" TargetMode="External"/><Relationship Id="rId_hyperlink_4123" Type="http://schemas.openxmlformats.org/officeDocument/2006/relationships/hyperlink" Target="https://optovikufa.ru/product/231843/perehodnik-vga-vga-gnezdo-gnezdo-h68/" TargetMode="External"/><Relationship Id="rId_hyperlink_4124" Type="http://schemas.openxmlformats.org/officeDocument/2006/relationships/hyperlink" Target="https://optovikufa.ru/product/231842/perehodnik-vga-vga-gnezdo-shteker-uglovoy-h66/" TargetMode="External"/><Relationship Id="rId_hyperlink_4125" Type="http://schemas.openxmlformats.org/officeDocument/2006/relationships/hyperlink" Target="https://optovikufa.ru/product/239178/razvetvitel-splitter-hdmi-2-x-hdmi-plug-h147/" TargetMode="External"/><Relationship Id="rId_hyperlink_4126" Type="http://schemas.openxmlformats.org/officeDocument/2006/relationships/hyperlink" Target="https://optovikufa.ru/product/237012/razvetvitel-splitter-hdmi-3-x-hdmi-plug/" TargetMode="External"/><Relationship Id="rId_hyperlink_4127" Type="http://schemas.openxmlformats.org/officeDocument/2006/relationships/hyperlink" Target="https://optovikufa.ru/product/183926/kabel-kompyuternyy-usb-20-af-af-gnezdo-gnezdo-1m/" TargetMode="External"/><Relationship Id="rId_hyperlink_4128" Type="http://schemas.openxmlformats.org/officeDocument/2006/relationships/hyperlink" Target="https://optovikufa.ru/product/153689/kabel-kompyuternyy-usb-20-am-af-shteker-gnezdo-075m-dzhett/" TargetMode="External"/><Relationship Id="rId_hyperlink_4129" Type="http://schemas.openxmlformats.org/officeDocument/2006/relationships/hyperlink" Target="https://optovikufa.ru/product/218828/kabel-kompyuternyy-usb-20-am-af-shteker-gnezdo-15m-chernyy-dream/" TargetMode="External"/><Relationship Id="rId_hyperlink_4130" Type="http://schemas.openxmlformats.org/officeDocument/2006/relationships/hyperlink" Target="https://optovikufa.ru/product/234956/kabel-kompyuternyy-usb-20-am-af-shteker-gnezdo-15m-filtr-chernyy-dl23-ep/" TargetMode="External"/><Relationship Id="rId_hyperlink_4131" Type="http://schemas.openxmlformats.org/officeDocument/2006/relationships/hyperlink" Target="https://optovikufa.ru/product/154198/kabel-kompyuternyy-usb-20-am-af-shteker-gnezdo-18-t-7202-18-dzhett/" TargetMode="External"/><Relationship Id="rId_hyperlink_4132" Type="http://schemas.openxmlformats.org/officeDocument/2006/relationships/hyperlink" Target="https://optovikufa.ru/product/160504/kabel-kompyuternyy-usb-20-am-af-shteker-gnezdo-18m-garnizon/" TargetMode="External"/><Relationship Id="rId_hyperlink_4133" Type="http://schemas.openxmlformats.org/officeDocument/2006/relationships/hyperlink" Target="https://optovikufa.ru/product/160503/kabel-kompyuternyy-usb-20-am-af-shteker-gnezdo-1m-garnizon/" TargetMode="External"/><Relationship Id="rId_hyperlink_4134" Type="http://schemas.openxmlformats.org/officeDocument/2006/relationships/hyperlink" Target="https://optovikufa.ru/product/122438/kabel-kompyuternyy-usb-20-am-af-shteker-gnezdo-3m-cablexpert/" TargetMode="External"/><Relationship Id="rId_hyperlink_4135" Type="http://schemas.openxmlformats.org/officeDocument/2006/relationships/hyperlink" Target="https://optovikufa.ru/product/174731/kabel-kompyuternyy-usb-20-am-af-shteker-gnezdo-45m-t-7202-5-dzhett/" TargetMode="External"/><Relationship Id="rId_hyperlink_4136" Type="http://schemas.openxmlformats.org/officeDocument/2006/relationships/hyperlink" Target="https://optovikufa.ru/product/234387/adapter-usb-3031-shteker-shteker-b6-510-gbps-dream/" TargetMode="External"/><Relationship Id="rId_hyperlink_4137" Type="http://schemas.openxmlformats.org/officeDocument/2006/relationships/hyperlink" Target="https://optovikufa.ru/product/234637/kabel-kompyuternyy-usb-20-am-am-shteker-shteker-15m-filtr-chernyy/" TargetMode="External"/><Relationship Id="rId_hyperlink_4138" Type="http://schemas.openxmlformats.org/officeDocument/2006/relationships/hyperlink" Target="https://optovikufa.ru/product/158488/kabel-kompyuternyy-usb-20-am-am-shteker-shteker-1m/" TargetMode="External"/><Relationship Id="rId_hyperlink_4139" Type="http://schemas.openxmlformats.org/officeDocument/2006/relationships/hyperlink" Target="https://optovikufa.ru/product/231200/kabel-kompyuternyy-usb-20-am-am-shteker-shteker-s-filtrom-3m/" TargetMode="External"/><Relationship Id="rId_hyperlink_4140" Type="http://schemas.openxmlformats.org/officeDocument/2006/relationships/hyperlink" Target="https://optovikufa.ru/product/223946/kabel-kompyuternyy-usb-30-am-am-shteker-shteker-2m-ot-pcc20-dlya-vneshnih-zhestkih-diskov/" TargetMode="External"/><Relationship Id="rId_hyperlink_4141" Type="http://schemas.openxmlformats.org/officeDocument/2006/relationships/hyperlink" Target="https://optovikufa.ru/product/158998/kabel-usb-35-jack-gnezdo-shteker-1-metr/" TargetMode="External"/><Relationship Id="rId_hyperlink_4142" Type="http://schemas.openxmlformats.org/officeDocument/2006/relationships/hyperlink" Target="https://optovikufa.ru/product/240797/perehodnik-usb-20-ps2-gnezdo-shteker-mysh-i-klaviatura/" TargetMode="External"/><Relationship Id="rId_hyperlink_4143" Type="http://schemas.openxmlformats.org/officeDocument/2006/relationships/hyperlink" Target="https://optovikufa.ru/product/238614/perehodnik-usb-20-ps2-mysh-i-klaviatura-shteker-2-gnezda-na-provode/" TargetMode="External"/><Relationship Id="rId_hyperlink_4144" Type="http://schemas.openxmlformats.org/officeDocument/2006/relationships/hyperlink" Target="https://optovikufa.ru/product/217495/kabel-usb-miniusb-05m-perfeo-u4201/" TargetMode="External"/><Relationship Id="rId_hyperlink_4145" Type="http://schemas.openxmlformats.org/officeDocument/2006/relationships/hyperlink" Target="https://optovikufa.ru/product/160556/kabel-usb-miniusb-18m-garnizon/" TargetMode="External"/><Relationship Id="rId_hyperlink_4146" Type="http://schemas.openxmlformats.org/officeDocument/2006/relationships/hyperlink" Target="https://optovikufa.ru/product/131910/kabel-usb-miniusb-18m-dzhett-gembird-107-105/" TargetMode="External"/><Relationship Id="rId_hyperlink_4147" Type="http://schemas.openxmlformats.org/officeDocument/2006/relationships/hyperlink" Target="https://optovikufa.ru/product/222396/kabel-usb-miniusb-dream-bk06/" TargetMode="External"/><Relationship Id="rId_hyperlink_4148" Type="http://schemas.openxmlformats.org/officeDocument/2006/relationships/hyperlink" Target="https://optovikufa.ru/product/242079/kabel-usb-miniusb-dream-bk06-belyy/" TargetMode="External"/><Relationship Id="rId_hyperlink_4149" Type="http://schemas.openxmlformats.org/officeDocument/2006/relationships/hyperlink" Target="https://optovikufa.ru/product/230447/kabel-dlya-printera-am-bm-15m-s-filtrom-chernyy-dl31/" TargetMode="External"/><Relationship Id="rId_hyperlink_4150" Type="http://schemas.openxmlformats.org/officeDocument/2006/relationships/hyperlink" Target="https://optovikufa.ru/product/145483/kabel-dlya-printera-am-bm-gembird-18m/" TargetMode="External"/><Relationship Id="rId_hyperlink_4151" Type="http://schemas.openxmlformats.org/officeDocument/2006/relationships/hyperlink" Target="https://optovikufa.ru/product/178485/kabel-dlya-printera-am-bm-gembird-3m/" TargetMode="External"/><Relationship Id="rId_hyperlink_4152" Type="http://schemas.openxmlformats.org/officeDocument/2006/relationships/hyperlink" Target="https://optovikufa.ru/product/179305/kabel-dlya-printera-am-bm-gembird-45m/" TargetMode="External"/><Relationship Id="rId_hyperlink_4153" Type="http://schemas.openxmlformats.org/officeDocument/2006/relationships/hyperlink" Target="https://optovikufa.ru/product/184257/kabel-dlya-printera-am-bm-garnizon-18m/" TargetMode="External"/><Relationship Id="rId_hyperlink_4154" Type="http://schemas.openxmlformats.org/officeDocument/2006/relationships/hyperlink" Target="https://optovikufa.ru/product/135460/kabel-dlya-printera-am-bm-garnizon-3m/" TargetMode="External"/><Relationship Id="rId_hyperlink_4155" Type="http://schemas.openxmlformats.org/officeDocument/2006/relationships/hyperlink" Target="https://optovikufa.ru/product/166969/kabel-kompyuternyy-patchkord-ep-kat-5e-5m/" TargetMode="External"/><Relationship Id="rId_hyperlink_4156" Type="http://schemas.openxmlformats.org/officeDocument/2006/relationships/hyperlink" Target="https://optovikufa.ru/product/236673/kabel-kompyuternyy-patchkord-ep-kat-5e-10m/" TargetMode="External"/><Relationship Id="rId_hyperlink_4157" Type="http://schemas.openxmlformats.org/officeDocument/2006/relationships/hyperlink" Target="https://optovikufa.ru/product/235873/kabel-kompyuternyy-patchkord-ep-kat-5e-20m/" TargetMode="External"/><Relationship Id="rId_hyperlink_4158" Type="http://schemas.openxmlformats.org/officeDocument/2006/relationships/hyperlink" Target="https://optovikufa.ru/product/235876/kabel-kompyuternyy-patchkord-ep-kat-5e-40m/" TargetMode="External"/><Relationship Id="rId_hyperlink_4159" Type="http://schemas.openxmlformats.org/officeDocument/2006/relationships/hyperlink" Target="https://optovikufa.ru/product/240383/kabel-kompyuternyy-patchkord-ep-kat-6e-20m/" TargetMode="External"/><Relationship Id="rId_hyperlink_4160" Type="http://schemas.openxmlformats.org/officeDocument/2006/relationships/hyperlink" Target="https://optovikufa.ru/product/240384/kabel-kompyuternyy-patchkord-ep-kat-6e-25m/" TargetMode="External"/><Relationship Id="rId_hyperlink_4161" Type="http://schemas.openxmlformats.org/officeDocument/2006/relationships/hyperlink" Target="https://optovikufa.ru/product/240385/kabel-kompyuternyy-patchkord-ep-kat-6e-27m/" TargetMode="External"/><Relationship Id="rId_hyperlink_4162" Type="http://schemas.openxmlformats.org/officeDocument/2006/relationships/hyperlink" Target="https://optovikufa.ru/product/241567/kabel-kompyuternyy-patchkord-ep-kat-6e-30m/" TargetMode="External"/><Relationship Id="rId_hyperlink_4163" Type="http://schemas.openxmlformats.org/officeDocument/2006/relationships/hyperlink" Target="https://optovikufa.ru/product/240386/kabel-kompyuternyy-patchkord-ep-kat-6e-40m/" TargetMode="External"/><Relationship Id="rId_hyperlink_4164" Type="http://schemas.openxmlformats.org/officeDocument/2006/relationships/hyperlink" Target="https://optovikufa.ru/product/242993/kabel-kompyuternyy-patchkord-ep-kat-6e-50m/" TargetMode="External"/><Relationship Id="rId_hyperlink_4165" Type="http://schemas.openxmlformats.org/officeDocument/2006/relationships/hyperlink" Target="https://optovikufa.ru/product/146440/kabel-kompyuternyy-patchkord-dzhett-gembird-utp-kat-5e-05m-seryy/" TargetMode="External"/><Relationship Id="rId_hyperlink_4166" Type="http://schemas.openxmlformats.org/officeDocument/2006/relationships/hyperlink" Target="https://optovikufa.ru/product/131877/kabel-kompyuternyy-patchkord-dzhett-gembird-utp-kat-5e-1m-seryy-t-7201-1/" TargetMode="External"/><Relationship Id="rId_hyperlink_4167" Type="http://schemas.openxmlformats.org/officeDocument/2006/relationships/hyperlink" Target="https://optovikufa.ru/product/130286/kabel-kompyuternyy-patchkord-dzhett-gembird-utp-kat-5e-2m-seryy-t-7201-2/" TargetMode="External"/><Relationship Id="rId_hyperlink_4168" Type="http://schemas.openxmlformats.org/officeDocument/2006/relationships/hyperlink" Target="https://optovikufa.ru/product/137790/kabel-kompyuternyy-patchkord-dzhett-gembird-utp-kat-5e-3m-seryy-t-7201-3/" TargetMode="External"/><Relationship Id="rId_hyperlink_4169" Type="http://schemas.openxmlformats.org/officeDocument/2006/relationships/hyperlink" Target="https://optovikufa.ru/product/148694/kabel-kompyuternyy-patchkord-dzhett-gembird-utp-kat-5e-5m-seryy-t-7201-5/" TargetMode="External"/><Relationship Id="rId_hyperlink_4170" Type="http://schemas.openxmlformats.org/officeDocument/2006/relationships/hyperlink" Target="https://optovikufa.ru/product/128785/kabel-kompyuternyy-patchkord-dzhett-gembird-utp-kat-5e-75m-seryy-t-7201-7/" TargetMode="External"/><Relationship Id="rId_hyperlink_4171" Type="http://schemas.openxmlformats.org/officeDocument/2006/relationships/hyperlink" Target="https://optovikufa.ru/product/130266/kabel-kompyuternyy-patchkord-dzhett-gembird-utp-kat-5e-10m-seryy-t-7201-10/" TargetMode="External"/><Relationship Id="rId_hyperlink_4172" Type="http://schemas.openxmlformats.org/officeDocument/2006/relationships/hyperlink" Target="https://optovikufa.ru/product/137219/kabel-kompyuternyy-patchkord-dzhett-gembird-utp-kat-5e-15m-seryy-t-7201-15/" TargetMode="External"/><Relationship Id="rId_hyperlink_4173" Type="http://schemas.openxmlformats.org/officeDocument/2006/relationships/hyperlink" Target="https://optovikufa.ru/product/130267/kabel-kompyuternyy-patchkord-dzhett-gembird-utp-kat-5e-20m-seryy-t-7201-20/" TargetMode="External"/><Relationship Id="rId_hyperlink_4174" Type="http://schemas.openxmlformats.org/officeDocument/2006/relationships/hyperlink" Target="https://optovikufa.ru/product/140598/kabel-kompyuternyy-patchkord-dzhett-gembird-utp-kat-5e-30m-seryy-t-7201-30/" TargetMode="External"/><Relationship Id="rId_hyperlink_4175" Type="http://schemas.openxmlformats.org/officeDocument/2006/relationships/hyperlink" Target="https://optovikufa.ru/product/237892/kabel-pigteyl-f-female-sma-male-gnezdo-shteker-kabel-rg316/" TargetMode="External"/><Relationship Id="rId_hyperlink_4176" Type="http://schemas.openxmlformats.org/officeDocument/2006/relationships/hyperlink" Target="https://optovikufa.ru/product/225253/kabel-pigteyl-f-female-crc9-gnezdo-shteker-kabel-rg316/" TargetMode="External"/><Relationship Id="rId_hyperlink_4177" Type="http://schemas.openxmlformats.org/officeDocument/2006/relationships/hyperlink" Target="https://optovikufa.ru/product/238326/kabel-dlya-videokarty-pci-express-6-pin-to-2-molex-015m-gg1/" TargetMode="External"/><Relationship Id="rId_hyperlink_4178" Type="http://schemas.openxmlformats.org/officeDocument/2006/relationships/hyperlink" Target="https://optovikufa.ru/product/242140/kabel-dlya-podklyucheniya-zhestkogo-diska-sata-30-6gbs-045m-dream-style-st01/" TargetMode="External"/><Relationship Id="rId_hyperlink_4179" Type="http://schemas.openxmlformats.org/officeDocument/2006/relationships/hyperlink" Target="https://optovikufa.ru/product/238324/kabel-dlya-podklyucheniya-zhestkogo-diska-sata-30-6gbs-045m-uglovoy-dream-style-st03/" TargetMode="External"/><Relationship Id="rId_hyperlink_4180" Type="http://schemas.openxmlformats.org/officeDocument/2006/relationships/hyperlink" Target="https://optovikufa.ru/product/238325/kabel-silovoy-dlya-podklyucheniya-2-h-zhestkih-diskov-molex-2-sata-15-pin-045m-st04/" TargetMode="External"/><Relationship Id="rId_hyperlink_4181" Type="http://schemas.openxmlformats.org/officeDocument/2006/relationships/hyperlink" Target="https://optovikufa.ru/product/239863/kabel-usb-dlya-elektrobritv-dl40-2pin/" TargetMode="External"/><Relationship Id="rId_hyperlink_4182" Type="http://schemas.openxmlformats.org/officeDocument/2006/relationships/hyperlink" Target="https://optovikufa.ru/product/239864/kabel-usb-dlya-elektrobritv-dl41-2pin/" TargetMode="External"/><Relationship Id="rId_hyperlink_4183" Type="http://schemas.openxmlformats.org/officeDocument/2006/relationships/hyperlink" Target="https://optovikufa.ru/product/239865/kabel-usb-dlya-elektrobritv-dl42-2pin/" TargetMode="External"/><Relationship Id="rId_hyperlink_4184" Type="http://schemas.openxmlformats.org/officeDocument/2006/relationships/hyperlink" Target="https://optovikufa.ru/product/239866/kabel-usb-dlya-elektrobritv-dl43-2pin/" TargetMode="External"/><Relationship Id="rId_hyperlink_4185" Type="http://schemas.openxmlformats.org/officeDocument/2006/relationships/hyperlink" Target="https://optovikufa.ru/product/239867/kabel-usb-dlya-elektrobritv-dl44-2pin/" TargetMode="External"/><Relationship Id="rId_hyperlink_4186" Type="http://schemas.openxmlformats.org/officeDocument/2006/relationships/hyperlink" Target="https://optovikufa.ru/product/241016/kabel-usb-dlya-elektrobritv-dl45-2pin/" TargetMode="External"/><Relationship Id="rId_hyperlink_4187" Type="http://schemas.openxmlformats.org/officeDocument/2006/relationships/hyperlink" Target="https://optovikufa.ru/product/227806/setevoy-shnur-2pin-c7-15m-uglovaya-vilka-belyy/" TargetMode="External"/><Relationship Id="rId_hyperlink_4188" Type="http://schemas.openxmlformats.org/officeDocument/2006/relationships/hyperlink" Target="https://optovikufa.ru/product/227807/setevoy-shnur-2pin-c7-15m-uglovoy-chernyy-ot-els07/" TargetMode="External"/><Relationship Id="rId_hyperlink_4189" Type="http://schemas.openxmlformats.org/officeDocument/2006/relationships/hyperlink" Target="https://optovikufa.ru/product/227812/setevoy-shnur-2pin-c7-15m-uglovoy-shteker-belyy/" TargetMode="External"/><Relationship Id="rId_hyperlink_4190" Type="http://schemas.openxmlformats.org/officeDocument/2006/relationships/hyperlink" Target="https://optovikufa.ru/product/227813/setevoy-shnur-2pin-c7-15m-uglovoy-shteker-chernyy/" TargetMode="External"/><Relationship Id="rId_hyperlink_4191" Type="http://schemas.openxmlformats.org/officeDocument/2006/relationships/hyperlink" Target="https://optovikufa.ru/product/236757/setevoy-shnur-2pin-c1-pc01-dlya-audio-video/" TargetMode="External"/><Relationship Id="rId_hyperlink_4192" Type="http://schemas.openxmlformats.org/officeDocument/2006/relationships/hyperlink" Target="https://optovikufa.ru/product/125493/setevoy-shnur-2pin-c1-dlya-elektrobritv-vitoy-kabel/" TargetMode="External"/><Relationship Id="rId_hyperlink_4193" Type="http://schemas.openxmlformats.org/officeDocument/2006/relationships/hyperlink" Target="https://optovikufa.ru/product/131605/setevoy-shnur-2pin-c1-dlya-elektrobritv-vitoy-kabel-shog-s-ap-agidel/" TargetMode="External"/><Relationship Id="rId_hyperlink_4194" Type="http://schemas.openxmlformats.org/officeDocument/2006/relationships/hyperlink" Target="https://optovikufa.ru/product/233299/setevoy-shnur-2pin-c1-dlya-elektrobritvy-pryamoy-12m-vs40/" TargetMode="External"/><Relationship Id="rId_hyperlink_4195" Type="http://schemas.openxmlformats.org/officeDocument/2006/relationships/hyperlink" Target="https://optovikufa.ru/product/241912/setevoy-shnur-2pin-c7-18m-dzhett-cn-9086a/" TargetMode="External"/><Relationship Id="rId_hyperlink_4196" Type="http://schemas.openxmlformats.org/officeDocument/2006/relationships/hyperlink" Target="https://optovikufa.ru/product/227809/setevoy-shnur-3pin-s13-15m-uglovoy-shteker-chernyy/" TargetMode="External"/><Relationship Id="rId_hyperlink_4197" Type="http://schemas.openxmlformats.org/officeDocument/2006/relationships/hyperlink" Target="https://optovikufa.ru/product/236978/setevoy-shnur-3pin-c5-15m-a757-vs61/" TargetMode="External"/><Relationship Id="rId_hyperlink_4198" Type="http://schemas.openxmlformats.org/officeDocument/2006/relationships/hyperlink" Target="https://optovikufa.ru/product/132473/setevoy-shnur-3pin-s13-12m-756/" TargetMode="External"/><Relationship Id="rId_hyperlink_4199" Type="http://schemas.openxmlformats.org/officeDocument/2006/relationships/hyperlink" Target="https://optovikufa.ru/product/146171/setevoy-shnur-3pin-s13-15m-333/" TargetMode="External"/><Relationship Id="rId_hyperlink_4200" Type="http://schemas.openxmlformats.org/officeDocument/2006/relationships/hyperlink" Target="https://optovikufa.ru/product/130525/setevoy-shnur-3pin-s13-18m-pc-186/" TargetMode="External"/><Relationship Id="rId_hyperlink_4201" Type="http://schemas.openxmlformats.org/officeDocument/2006/relationships/hyperlink" Target="https://optovikufa.ru/product/128787/setevoy-shnur-3pin-s13-3m-pc-186-10/" TargetMode="External"/><Relationship Id="rId_hyperlink_4202" Type="http://schemas.openxmlformats.org/officeDocument/2006/relationships/hyperlink" Target="https://optovikufa.ru/product/225917/setevoy-shnur-3pin-s5-15m-758/" TargetMode="External"/><Relationship Id="rId_hyperlink_4203" Type="http://schemas.openxmlformats.org/officeDocument/2006/relationships/hyperlink" Target="https://optovikufa.ru/product/219540/setevoy-shnur-3pin-s5-15m-chernyy-dream/" TargetMode="External"/><Relationship Id="rId_hyperlink_4204" Type="http://schemas.openxmlformats.org/officeDocument/2006/relationships/hyperlink" Target="https://optovikufa.ru/product/239551/setevoy-shnur-3pin-s5-15m-757-ep/" TargetMode="External"/><Relationship Id="rId_hyperlink_4205" Type="http://schemas.openxmlformats.org/officeDocument/2006/relationships/hyperlink" Target="https://optovikufa.ru/product/235934/setevoy-shnur-3pin-s5-15m-vs62/" TargetMode="External"/><Relationship Id="rId_hyperlink_4206" Type="http://schemas.openxmlformats.org/officeDocument/2006/relationships/hyperlink" Target="https://optovikufa.ru/product/233298/setevoy-shnur-c7-vs30-18m-vosmerka-chernyy/" TargetMode="External"/><Relationship Id="rId_hyperlink_4207" Type="http://schemas.openxmlformats.org/officeDocument/2006/relationships/hyperlink" Target="https://optovikufa.ru/product/127589/setevoy-shnur-s-vyklyuchatelem-belyy-17-m-2-h05/" TargetMode="External"/><Relationship Id="rId_hyperlink_4208" Type="http://schemas.openxmlformats.org/officeDocument/2006/relationships/hyperlink" Target="https://optovikufa.ru/product/145847/setevoy-shnur-s-vyklyuchatelem-belyy-22-m-2-h05-/" TargetMode="External"/><Relationship Id="rId_hyperlink_4209" Type="http://schemas.openxmlformats.org/officeDocument/2006/relationships/hyperlink" Target="https://optovikufa.ru/product/135398/shnur-s-ploskoy-vilkoy-i-dimmerom-smartbuy-17m-shvvp-sbe-06-p07-b/" TargetMode="External"/><Relationship Id="rId_hyperlink_4210" Type="http://schemas.openxmlformats.org/officeDocument/2006/relationships/hyperlink" Target="https://optovikufa.ru/product/135397/shnur-s-ploskoy-vilkoy-i-dimmerom-smartbuy-17m-shvvp-sbe-06-p07-w/" TargetMode="External"/><Relationship Id="rId_hyperlink_4211" Type="http://schemas.openxmlformats.org/officeDocument/2006/relationships/hyperlink" Target="https://optovikufa.ru/product/235313/shnur-s-ploskoy-vilkoy-i-dimmerom-belyy-47271/" TargetMode="External"/><Relationship Id="rId_hyperlink_4212" Type="http://schemas.openxmlformats.org/officeDocument/2006/relationships/hyperlink" Target="https://optovikufa.ru/product/145887/shnur-s-ploskoy-vilkoy-i-prohodnym-vyklyuchatelem-smartbuy-17m-belyy-shvvp-2h075-sbe-06-p05-w/" TargetMode="External"/><Relationship Id="rId_hyperlink_4213" Type="http://schemas.openxmlformats.org/officeDocument/2006/relationships/hyperlink" Target="https://optovikufa.ru/product/143444/shnur-s-ploskoy-vilkoy-i-prohodnym-vyklyuchatelem-smartbuy-17m-chernyy-shvvp-2h075-sbe-06-p05-b/" TargetMode="External"/><Relationship Id="rId_hyperlink_4214" Type="http://schemas.openxmlformats.org/officeDocument/2006/relationships/hyperlink" Target="https://optovikufa.ru/product/243153/shnur-setevoy-2h075mm-s-dimmerom-2m-belyy-ruel/" TargetMode="External"/><Relationship Id="rId_hyperlink_4215" Type="http://schemas.openxmlformats.org/officeDocument/2006/relationships/hyperlink" Target="https://optovikufa.ru/product/243152/shnur-setevoy-2h075mm-s-dimmerom-2m-chernyy-ruel/" TargetMode="External"/><Relationship Id="rId_hyperlink_4216" Type="http://schemas.openxmlformats.org/officeDocument/2006/relationships/hyperlink" Target="https://optovikufa.ru/product/243151/shnur-setevoy-2h075mm-s-napolnym-vyklyuchatelem-25m-belyy-ruel/" TargetMode="External"/><Relationship Id="rId_hyperlink_4217" Type="http://schemas.openxmlformats.org/officeDocument/2006/relationships/hyperlink" Target="https://optovikufa.ru/product/243150/shnur-setevoy-2h075mm-s-napolnym-vyklyuchatelem-25m-chernyy-ruel/" TargetMode="External"/><Relationship Id="rId_hyperlink_4218" Type="http://schemas.openxmlformats.org/officeDocument/2006/relationships/hyperlink" Target="https://optovikufa.ru/product/153902/shnur-setevoy-s-vilkoy-provod-pvs-2h075-22m/" TargetMode="External"/><Relationship Id="rId_hyperlink_4219" Type="http://schemas.openxmlformats.org/officeDocument/2006/relationships/hyperlink" Target="https://optovikufa.ru/product/145301/shnur-setevoy-s-vilkoy-provod-shvvp-2h05-5m-belyy/" TargetMode="External"/><Relationship Id="rId_hyperlink_4220" Type="http://schemas.openxmlformats.org/officeDocument/2006/relationships/hyperlink" Target="https://optovikufa.ru/product/147823/shnur-setevoy-s-vilkoy-provod-shvvp-2h075-22m-belyy/" TargetMode="External"/><Relationship Id="rId_hyperlink_4221" Type="http://schemas.openxmlformats.org/officeDocument/2006/relationships/hyperlink" Target="https://optovikufa.ru/product/147824/shnur-setevoy-s-vilkoy-provod-shvvp-2h075-3m-belyy/" TargetMode="External"/><Relationship Id="rId_hyperlink_4222" Type="http://schemas.openxmlformats.org/officeDocument/2006/relationships/hyperlink" Target="https://optovikufa.ru/product/147828/shnur-setevoy-s-vilkoy-s-zazemleniem-armirovannyy-provod-pvs-3h075-22m/" TargetMode="External"/><Relationship Id="rId_hyperlink_4223" Type="http://schemas.openxmlformats.org/officeDocument/2006/relationships/hyperlink" Target="https://optovikufa.ru/product/147829/shnur-setevoy-s-vilkoy-s-zazemleniem-armirovannyy-provod-pvs-3h075-3m/" TargetMode="External"/><Relationship Id="rId_hyperlink_4224" Type="http://schemas.openxmlformats.org/officeDocument/2006/relationships/hyperlink" Target="https://optovikufa.ru/product/177225/shnur-setevoy-s-vilkoy-s-zazemleniem-armirovannyy-provod-pvs-3h075-5-m/" TargetMode="External"/><Relationship Id="rId_hyperlink_4225" Type="http://schemas.openxmlformats.org/officeDocument/2006/relationships/hyperlink" Target="https://optovikufa.ru/product/229669/kabel-usb-25mm-pitanie-1m-/" TargetMode="External"/><Relationship Id="rId_hyperlink_4226" Type="http://schemas.openxmlformats.org/officeDocument/2006/relationships/hyperlink" Target="https://optovikufa.ru/product/241173/kabel-usb-35mm-pitanie-05m/" TargetMode="External"/><Relationship Id="rId_hyperlink_4227" Type="http://schemas.openxmlformats.org/officeDocument/2006/relationships/hyperlink" Target="https://optovikufa.ru/product/241174/kabel-usb-35mm-pitanie-18m/" TargetMode="External"/><Relationship Id="rId_hyperlink_4228" Type="http://schemas.openxmlformats.org/officeDocument/2006/relationships/hyperlink" Target="https://optovikufa.ru/product/229695/kabel-usb-35mm-pitanie-1m/" TargetMode="External"/><Relationship Id="rId_hyperlink_4229" Type="http://schemas.openxmlformats.org/officeDocument/2006/relationships/hyperlink" Target="https://optovikufa.ru/product/242541/kabel-usb-40mm-pitanie-18m/" TargetMode="External"/><Relationship Id="rId_hyperlink_4230" Type="http://schemas.openxmlformats.org/officeDocument/2006/relationships/hyperlink" Target="https://optovikufa.ru/product/237955/kabel-usb-55-x-21mm-pitanie-dream-v21/" TargetMode="External"/><Relationship Id="rId_hyperlink_4231" Type="http://schemas.openxmlformats.org/officeDocument/2006/relationships/hyperlink" Target="https://optovikufa.ru/product/240201/kabel-usb-55-x-25mm-pitanie-18m/" TargetMode="External"/><Relationship Id="rId_hyperlink_4232" Type="http://schemas.openxmlformats.org/officeDocument/2006/relationships/hyperlink" Target="https://optovikufa.ru/product/237956/kabel-usb-55-x-25mm-pitanie-dream-v5/" TargetMode="External"/><Relationship Id="rId_hyperlink_4233" Type="http://schemas.openxmlformats.org/officeDocument/2006/relationships/hyperlink" Target="https://optovikufa.ru/product/184057/kabel-usb-55mm-pitanie-15m-bs-373-ot-pcc04/" TargetMode="External"/><Relationship Id="rId_hyperlink_4234" Type="http://schemas.openxmlformats.org/officeDocument/2006/relationships/hyperlink" Target="https://optovikufa.ru/product/236499/kabel-usb-55mm-pitanie-1m/" TargetMode="External"/><Relationship Id="rId_hyperlink_4235" Type="http://schemas.openxmlformats.org/officeDocument/2006/relationships/hyperlink" Target="https://optovikufa.ru/product/238865/kabel-pitaniya-udlinitel-dc-55x25mm-shteker-gnezdo-15-m/" TargetMode="External"/><Relationship Id="rId_hyperlink_4236" Type="http://schemas.openxmlformats.org/officeDocument/2006/relationships/hyperlink" Target="https://optovikufa.ru/product/242539/kabel-pitaniya-udlinitel-dc-55x25mm-shteker-gnezdo-3m/" TargetMode="External"/><Relationship Id="rId_hyperlink_4237" Type="http://schemas.openxmlformats.org/officeDocument/2006/relationships/hyperlink" Target="https://optovikufa.ru/product/242540/kabel-pitaniya-udlinitel-dc-55x25mm-shteker-gnezdo-5m/" TargetMode="External"/><Relationship Id="rId_hyperlink_4238" Type="http://schemas.openxmlformats.org/officeDocument/2006/relationships/hyperlink" Target="https://optovikufa.ru/product/233768/shnur-pitaniya-s-razemom-dc-35h14mm-18m/" TargetMode="External"/><Relationship Id="rId_hyperlink_4239" Type="http://schemas.openxmlformats.org/officeDocument/2006/relationships/hyperlink" Target="https://optovikufa.ru/product/233769/shnur-pitaniya-s-razemom-dc-55h21mm-18m/" TargetMode="External"/><Relationship Id="rId_hyperlink_4240" Type="http://schemas.openxmlformats.org/officeDocument/2006/relationships/hyperlink" Target="https://optovikufa.ru/product/233770/shnur-pitaniya-s-razemom-dc-55h21mm-18m-uglovoy/" TargetMode="External"/><Relationship Id="rId_hyperlink_4241" Type="http://schemas.openxmlformats.org/officeDocument/2006/relationships/hyperlink" Target="https://optovikufa.ru/product/229072/perehodnik-dc-gnezdo-gnezdo-5521-5521-f-f/" TargetMode="External"/><Relationship Id="rId_hyperlink_4242" Type="http://schemas.openxmlformats.org/officeDocument/2006/relationships/hyperlink" Target="https://optovikufa.ru/product/229076/perehodnik-dc-shteker-shteker-5525-5521-m-m-dlina-35sm/" TargetMode="External"/><Relationship Id="rId_hyperlink_4243" Type="http://schemas.openxmlformats.org/officeDocument/2006/relationships/hyperlink" Target="https://optovikufa.ru/product/236821/perehodnik-pitaniya-55x25-gnezdo-25x07-shteker-20sm/" TargetMode="External"/><Relationship Id="rId_hyperlink_4244" Type="http://schemas.openxmlformats.org/officeDocument/2006/relationships/hyperlink" Target="https://optovikufa.ru/product/242346/ambushyury-s-effektom-pamyati-pennye-3-pary-razmer-s-m-l-krasnyy-kz-acoustics/" TargetMode="External"/><Relationship Id="rId_hyperlink_4245" Type="http://schemas.openxmlformats.org/officeDocument/2006/relationships/hyperlink" Target="https://optovikufa.ru/product/242347/ambushyury-s-effektom-pamyati-pennye-3-pary-razmer-s-m-l-siniy-kz-acoustics/" TargetMode="External"/><Relationship Id="rId_hyperlink_4246" Type="http://schemas.openxmlformats.org/officeDocument/2006/relationships/hyperlink" Target="https://optovikufa.ru/product/242349/ambushyury-s-effektom-pamyati-pennye-razmer-m-krasnye-kz-acoustics/" TargetMode="External"/><Relationship Id="rId_hyperlink_4247" Type="http://schemas.openxmlformats.org/officeDocument/2006/relationships/hyperlink" Target="https://optovikufa.ru/product/242350/ambushyury-s-effektom-pamyati-pennye-razmer-m-sinie-kz-acoustics/" TargetMode="External"/><Relationship Id="rId_hyperlink_4248" Type="http://schemas.openxmlformats.org/officeDocument/2006/relationships/hyperlink" Target="https://optovikufa.ru/product/242348/ambushyury-s-effektom-pamyati-pennye-razmer-m-chernye-kz-acoustics/" TargetMode="External"/><Relationship Id="rId_hyperlink_4249" Type="http://schemas.openxmlformats.org/officeDocument/2006/relationships/hyperlink" Target="https://optovikufa.ru/product/234979/ambushyury-silikonovye-dlya-naushnikov-dream-alc08-belye/" TargetMode="External"/><Relationship Id="rId_hyperlink_4250" Type="http://schemas.openxmlformats.org/officeDocument/2006/relationships/hyperlink" Target="https://optovikufa.ru/product/242351/ambushyury-silikonovye-3-pary-razmer-s-m-l-chernye-kz-acoustics/" TargetMode="External"/><Relationship Id="rId_hyperlink_4251" Type="http://schemas.openxmlformats.org/officeDocument/2006/relationships/hyperlink" Target="https://optovikufa.ru/product/238624/ambushyury-silikonovye-dlya-naushnikov-dream-alc08-chernye/" TargetMode="External"/><Relationship Id="rId_hyperlink_4252" Type="http://schemas.openxmlformats.org/officeDocument/2006/relationships/hyperlink" Target="https://optovikufa.ru/product/242355/kabel-dlya-naushnikov-pozolochennye-kontakty-med-ofc-999/" TargetMode="External"/><Relationship Id="rId_hyperlink_4253" Type="http://schemas.openxmlformats.org/officeDocument/2006/relationships/hyperlink" Target="https://optovikufa.ru/product/241150/garnitura-bluetooth-hoco-es65-dream-bluetooth-53-cvet-oranzhevyy/" TargetMode="External"/><Relationship Id="rId_hyperlink_4254" Type="http://schemas.openxmlformats.org/officeDocument/2006/relationships/hyperlink" Target="https://optovikufa.ru/product/241151/garnitura-bluetooth-hoco-es65-dream-bluetooth-53-cvet-fioletovyy/" TargetMode="External"/><Relationship Id="rId_hyperlink_4255" Type="http://schemas.openxmlformats.org/officeDocument/2006/relationships/hyperlink" Target="https://optovikufa.ru/product/240991/garnitura-bluetooth-s-zazhimami-dlya-ushey-belaya/" TargetMode="External"/><Relationship Id="rId_hyperlink_4256" Type="http://schemas.openxmlformats.org/officeDocument/2006/relationships/hyperlink" Target="https://optovikufa.ru/product/240993/garnitura-bluetooth-s-zazhimami-dlya-ushey-oranzhevaya/" TargetMode="External"/><Relationship Id="rId_hyperlink_4257" Type="http://schemas.openxmlformats.org/officeDocument/2006/relationships/hyperlink" Target="https://optovikufa.ru/product/240992/garnitura-bluetooth-s-zazhimami-dlya-ushey-telesnaya/" TargetMode="External"/><Relationship Id="rId_hyperlink_4258" Type="http://schemas.openxmlformats.org/officeDocument/2006/relationships/hyperlink" Target="https://optovikufa.ru/product/224940/garnitura-dialog-es-75bt-bluetooth-s-knopkoy-otveta-dlya-mobilnyh-ustroystv-belyy/" TargetMode="External"/><Relationship Id="rId_hyperlink_4259" Type="http://schemas.openxmlformats.org/officeDocument/2006/relationships/hyperlink" Target="https://optovikufa.ru/product/224939/garnitura-dialog-es-75bt-bluetooth-s-knopkoy-otveta-dlya-mobilnyh-ustroystv-chernaya/" TargetMode="External"/><Relationship Id="rId_hyperlink_4260" Type="http://schemas.openxmlformats.org/officeDocument/2006/relationships/hyperlink" Target="https://optovikufa.ru/product/221659/garnitura-dream-ly03-s-zaryadnym-boksom-chernyy/" TargetMode="External"/><Relationship Id="rId_hyperlink_4261" Type="http://schemas.openxmlformats.org/officeDocument/2006/relationships/hyperlink" Target="https://optovikufa.ru/product/239082/garnitura-besprovodnaya-airbuds-ws03/" TargetMode="External"/><Relationship Id="rId_hyperlink_4262" Type="http://schemas.openxmlformats.org/officeDocument/2006/relationships/hyperlink" Target="https://optovikufa.ru/product/239084/garnitura-besprovodnaya-airbuds-ws05/" TargetMode="External"/><Relationship Id="rId_hyperlink_4263" Type="http://schemas.openxmlformats.org/officeDocument/2006/relationships/hyperlink" Target="https://optovikufa.ru/product/242501/garnitura-besprovodnaya-airbuds-ws07-belye/" TargetMode="External"/><Relationship Id="rId_hyperlink_4264" Type="http://schemas.openxmlformats.org/officeDocument/2006/relationships/hyperlink" Target="https://optovikufa.ru/product/230424/garnitura-besprovodnaya-earbuds-a10s-bluetooth/" TargetMode="External"/><Relationship Id="rId_hyperlink_4265" Type="http://schemas.openxmlformats.org/officeDocument/2006/relationships/hyperlink" Target="https://optovikufa.ru/product/232707/garnitura-besprovodnaya-hands-free-hoco-e57-bluetooth-belyy/" TargetMode="External"/><Relationship Id="rId_hyperlink_4266" Type="http://schemas.openxmlformats.org/officeDocument/2006/relationships/hyperlink" Target="https://optovikufa.ru/product/220754/garnitura-besprovodnaya-ip-i9s-tws-50/" TargetMode="External"/><Relationship Id="rId_hyperlink_4267" Type="http://schemas.openxmlformats.org/officeDocument/2006/relationships/hyperlink" Target="https://optovikufa.ru/product/237086/garnitura-besprovodnaya-m10/" TargetMode="External"/><Relationship Id="rId_hyperlink_4268" Type="http://schemas.openxmlformats.org/officeDocument/2006/relationships/hyperlink" Target="https://optovikufa.ru/product/227398/garnitura-besprovodnaya-redmi-airdots-2-chernye/" TargetMode="External"/><Relationship Id="rId_hyperlink_4269" Type="http://schemas.openxmlformats.org/officeDocument/2006/relationships/hyperlink" Target="https://optovikufa.ru/product/141982/garnitura-besprovodnaya-ritmix-bluetooth-set-rh-411bth-rh-401btd/" TargetMode="External"/><Relationship Id="rId_hyperlink_4270" Type="http://schemas.openxmlformats.org/officeDocument/2006/relationships/hyperlink" Target="https://optovikufa.ru/product/233639/garnitura-besprovodnaya-vakuumnaya-borofone-be45-chernyy/" TargetMode="External"/><Relationship Id="rId_hyperlink_4271" Type="http://schemas.openxmlformats.org/officeDocument/2006/relationships/hyperlink" Target="https://optovikufa.ru/product/240720/garnitura-besprovodnaya-vakuumnaya-borofone-be56-chernyy/" TargetMode="External"/><Relationship Id="rId_hyperlink_4272" Type="http://schemas.openxmlformats.org/officeDocument/2006/relationships/hyperlink" Target="https://optovikufa.ru/product/240721/garnitura-besprovodnaya-vakuumnaya-borofone-be58-seryy/" TargetMode="External"/><Relationship Id="rId_hyperlink_4273" Type="http://schemas.openxmlformats.org/officeDocument/2006/relationships/hyperlink" Target="https://optovikufa.ru/product/239032/garnitura-besprovodnaya-vakuumnaya-borofone-be58-chernyy/" TargetMode="External"/><Relationship Id="rId_hyperlink_4274" Type="http://schemas.openxmlformats.org/officeDocument/2006/relationships/hyperlink" Target="https://optovikufa.ru/product/239293/garnitura-besprovodnaya-vakuumnaya-borofone-be59-siniy/" TargetMode="External"/><Relationship Id="rId_hyperlink_4275" Type="http://schemas.openxmlformats.org/officeDocument/2006/relationships/hyperlink" Target="https://optovikufa.ru/product/242585/garnitura-besprovodnaya-vakuumnaya-hoco-es50-chernyy/" TargetMode="External"/><Relationship Id="rId_hyperlink_4276" Type="http://schemas.openxmlformats.org/officeDocument/2006/relationships/hyperlink" Target="https://optovikufa.ru/product/235432/garnitura-besprovodnaya-vakuumnaya-hoco-es51-belyy/" TargetMode="External"/><Relationship Id="rId_hyperlink_4277" Type="http://schemas.openxmlformats.org/officeDocument/2006/relationships/hyperlink" Target="https://optovikufa.ru/product/235038/garnitura-besprovodnaya-vakuumnaya-hoco-es58-siniy/" TargetMode="External"/><Relationship Id="rId_hyperlink_4278" Type="http://schemas.openxmlformats.org/officeDocument/2006/relationships/hyperlink" Target="https://optovikufa.ru/product/239036/garnitura-besprovodnaya-vakuumnaya-hoco-es64-zelenyy/" TargetMode="External"/><Relationship Id="rId_hyperlink_4279" Type="http://schemas.openxmlformats.org/officeDocument/2006/relationships/hyperlink" Target="https://optovikufa.ru/product/242794/garnitura-besprovodnaya-vakuumnaya-hoco-es69-chernyy/" TargetMode="External"/><Relationship Id="rId_hyperlink_4280" Type="http://schemas.openxmlformats.org/officeDocument/2006/relationships/hyperlink" Target="https://optovikufa.ru/product/242795/garnitura-besprovodnaya-vakuumnaya-hoco-es70-bezhevyy/" TargetMode="External"/><Relationship Id="rId_hyperlink_4281" Type="http://schemas.openxmlformats.org/officeDocument/2006/relationships/hyperlink" Target="https://optovikufa.ru/product/242797/garnitura-besprovodnaya-vakuumnaya-hoco-es70-fioletovyy/" TargetMode="External"/><Relationship Id="rId_hyperlink_4282" Type="http://schemas.openxmlformats.org/officeDocument/2006/relationships/hyperlink" Target="https://optovikufa.ru/product/241886/garnitura-besprovodnaya-vakuumnaya-hoco-ew05-plus-belyy/" TargetMode="External"/><Relationship Id="rId_hyperlink_4283" Type="http://schemas.openxmlformats.org/officeDocument/2006/relationships/hyperlink" Target="https://optovikufa.ru/product/242225/garnitura-besprovodnaya-vakuumnaya-hoco-ew10-belyy/" TargetMode="External"/><Relationship Id="rId_hyperlink_4284" Type="http://schemas.openxmlformats.org/officeDocument/2006/relationships/hyperlink" Target="https://optovikufa.ru/product/240748/garnitura-besprovodnaya-vakuumnaya-hoco-ew17-belyy/" TargetMode="External"/><Relationship Id="rId_hyperlink_4285" Type="http://schemas.openxmlformats.org/officeDocument/2006/relationships/hyperlink" Target="https://optovikufa.ru/product/236077/garnitura-besprovodnaya-vakuumnaya-hoco-ew17-chernyy/" TargetMode="External"/><Relationship Id="rId_hyperlink_4286" Type="http://schemas.openxmlformats.org/officeDocument/2006/relationships/hyperlink" Target="https://optovikufa.ru/product/241887/garnitura-besprovodnaya-vakuumnaya-hoco-ew20-belyy/" TargetMode="External"/><Relationship Id="rId_hyperlink_4287" Type="http://schemas.openxmlformats.org/officeDocument/2006/relationships/hyperlink" Target="https://optovikufa.ru/product/242226/garnitura-besprovodnaya-vakuumnaya-hoco-ew23-rozovyy/" TargetMode="External"/><Relationship Id="rId_hyperlink_4288" Type="http://schemas.openxmlformats.org/officeDocument/2006/relationships/hyperlink" Target="https://optovikufa.ru/product/236165/garnitura-besprovodnaya-vakuumnaya-hoco-ew26-belyy/" TargetMode="External"/><Relationship Id="rId_hyperlink_4289" Type="http://schemas.openxmlformats.org/officeDocument/2006/relationships/hyperlink" Target="https://optovikufa.ru/product/240750/garnitura-besprovodnaya-vakuumnaya-hoco-ew39-zheltyy/" TargetMode="External"/><Relationship Id="rId_hyperlink_4290" Type="http://schemas.openxmlformats.org/officeDocument/2006/relationships/hyperlink" Target="https://optovikufa.ru/product/236160/garnitura-besprovodnaya-vakuumnaya-hoco-ew42-belyy/" TargetMode="External"/><Relationship Id="rId_hyperlink_4291" Type="http://schemas.openxmlformats.org/officeDocument/2006/relationships/hyperlink" Target="https://optovikufa.ru/product/238678/garnitura-besprovodnaya-vakuumnaya-hoco-ew45-zelenyy/" TargetMode="External"/><Relationship Id="rId_hyperlink_4292" Type="http://schemas.openxmlformats.org/officeDocument/2006/relationships/hyperlink" Target="https://optovikufa.ru/product/241161/garnitura-besprovodnaya-vakuumnaya-hoco-ew45-korichnevyy/" TargetMode="External"/><Relationship Id="rId_hyperlink_4293" Type="http://schemas.openxmlformats.org/officeDocument/2006/relationships/hyperlink" Target="https://optovikufa.ru/product/238679/garnitura-besprovodnaya-vakuumnaya-hoco-ew46-korichnevyy/" TargetMode="External"/><Relationship Id="rId_hyperlink_4294" Type="http://schemas.openxmlformats.org/officeDocument/2006/relationships/hyperlink" Target="https://optovikufa.ru/product/238680/garnitura-besprovodnaya-vakuumnaya-hoco-ew46-siniy/" TargetMode="External"/><Relationship Id="rId_hyperlink_4295" Type="http://schemas.openxmlformats.org/officeDocument/2006/relationships/hyperlink" Target="https://optovikufa.ru/product/219358/garnitura-besprovodnaya-vakuumnaya-perfeo-balance-chernyy/" TargetMode="External"/><Relationship Id="rId_hyperlink_4296" Type="http://schemas.openxmlformats.org/officeDocument/2006/relationships/hyperlink" Target="https://optovikufa.ru/product/221934/garnitura-besprovodnaya-vakuumnaya-perfeo-bells-chernyy/" TargetMode="External"/><Relationship Id="rId_hyperlink_4297" Type="http://schemas.openxmlformats.org/officeDocument/2006/relationships/hyperlink" Target="https://optovikufa.ru/product/225777/garnitura-besprovodnaya-vakuumnaya-ritmix-rh-850bth-tws-bluetooth-belyy/" TargetMode="External"/><Relationship Id="rId_hyperlink_4298" Type="http://schemas.openxmlformats.org/officeDocument/2006/relationships/hyperlink" Target="https://optovikufa.ru/product/231473/garnitura-besprovodnaya-vakuumnaya-ritmix-rh-888bth-tws-bluetooth-chernyy/" TargetMode="External"/><Relationship Id="rId_hyperlink_4299" Type="http://schemas.openxmlformats.org/officeDocument/2006/relationships/hyperlink" Target="https://optovikufa.ru/product/242211/garnitura-vakuumnaya-besprovodnaya-borofone-be63-talent-chernyy/" TargetMode="External"/><Relationship Id="rId_hyperlink_4300" Type="http://schemas.openxmlformats.org/officeDocument/2006/relationships/hyperlink" Target="https://optovikufa.ru/product/230061/garnitura-vakuumnaya-besprovodnaya-borofone-bw03-belyy/" TargetMode="External"/><Relationship Id="rId_hyperlink_4301" Type="http://schemas.openxmlformats.org/officeDocument/2006/relationships/hyperlink" Target="https://optovikufa.ru/product/234682/garnitura-vakuumnaya-besprovodnaya-borofone-bw06-manner-belyy/" TargetMode="External"/><Relationship Id="rId_hyperlink_4302" Type="http://schemas.openxmlformats.org/officeDocument/2006/relationships/hyperlink" Target="https://optovikufa.ru/product/239306/garnitura-vakuumnaya-besprovodnaya-borofone-bw09-belyy/" TargetMode="External"/><Relationship Id="rId_hyperlink_4303" Type="http://schemas.openxmlformats.org/officeDocument/2006/relationships/hyperlink" Target="https://optovikufa.ru/product/236074/garnitura-vakuumnaya-besprovodnaya-borofone-bw20-belyy/" TargetMode="External"/><Relationship Id="rId_hyperlink_4304" Type="http://schemas.openxmlformats.org/officeDocument/2006/relationships/hyperlink" Target="https://optovikufa.ru/product/241154/garnitura-vakuumnaya-besprovodnaya-borofone-bw23-crystal-bluetooth-tws-cvet-oranzhevyy/" TargetMode="External"/><Relationship Id="rId_hyperlink_4305" Type="http://schemas.openxmlformats.org/officeDocument/2006/relationships/hyperlink" Target="https://optovikufa.ru/product/241155/garnitura-vakuumnaya-besprovodnaya-borofone-bw24-magic-plastik-bluetooth-53-mikrofon-cvet-belyy/" TargetMode="External"/><Relationship Id="rId_hyperlink_4306" Type="http://schemas.openxmlformats.org/officeDocument/2006/relationships/hyperlink" Target="https://optovikufa.ru/product/238472/garnitura-vakuumnaya-besprovodnaya-borofone-bw26-belyy/" TargetMode="External"/><Relationship Id="rId_hyperlink_4307" Type="http://schemas.openxmlformats.org/officeDocument/2006/relationships/hyperlink" Target="https://optovikufa.ru/product/239311/garnitura-vakuumnaya-besprovodnaya-borofone-bw28-belyy/" TargetMode="External"/><Relationship Id="rId_hyperlink_4308" Type="http://schemas.openxmlformats.org/officeDocument/2006/relationships/hyperlink" Target="https://optovikufa.ru/product/239313/garnitura-vakuumnaya-besprovodnaya-borofone-bw29-laym/" TargetMode="External"/><Relationship Id="rId_hyperlink_4309" Type="http://schemas.openxmlformats.org/officeDocument/2006/relationships/hyperlink" Target="https://optovikufa.ru/product/239314/garnitura-vakuumnaya-besprovodnaya-borofone-bw29-rozovyy/" TargetMode="External"/><Relationship Id="rId_hyperlink_4310" Type="http://schemas.openxmlformats.org/officeDocument/2006/relationships/hyperlink" Target="https://optovikufa.ru/product/241156/garnitura-vakuumnaya-besprovodnaya-borofone-bw29-siniy/" TargetMode="External"/><Relationship Id="rId_hyperlink_4311" Type="http://schemas.openxmlformats.org/officeDocument/2006/relationships/hyperlink" Target="https://optovikufa.ru/product/240740/garnitura-vakuumnaya-besprovodnaya-borofone-bw30-seryy/" TargetMode="External"/><Relationship Id="rId_hyperlink_4312" Type="http://schemas.openxmlformats.org/officeDocument/2006/relationships/hyperlink" Target="https://optovikufa.ru/product/240741/garnitura-vakuumnaya-besprovodnaya-borofone-bw30-chernyy/" TargetMode="External"/><Relationship Id="rId_hyperlink_4313" Type="http://schemas.openxmlformats.org/officeDocument/2006/relationships/hyperlink" Target="https://optovikufa.ru/product/241157/garnitura-vakuumnaya-besprovodnaya-borofone-bw33-goluboy/" TargetMode="External"/><Relationship Id="rId_hyperlink_4314" Type="http://schemas.openxmlformats.org/officeDocument/2006/relationships/hyperlink" Target="https://optovikufa.ru/product/238473/garnitura-vakuumnaya-besprovodnaya-borofone-bw35-true-belyy/" TargetMode="External"/><Relationship Id="rId_hyperlink_4315" Type="http://schemas.openxmlformats.org/officeDocument/2006/relationships/hyperlink" Target="https://optovikufa.ru/product/240742/garnitura-vakuumnaya-besprovodnaya-borofone-bw39-belyy/" TargetMode="External"/><Relationship Id="rId_hyperlink_4316" Type="http://schemas.openxmlformats.org/officeDocument/2006/relationships/hyperlink" Target="https://optovikufa.ru/product/242219/garnitura-vakuumnaya-besprovodnaya-borofone-bw42-belyy/" TargetMode="External"/><Relationship Id="rId_hyperlink_4317" Type="http://schemas.openxmlformats.org/officeDocument/2006/relationships/hyperlink" Target="https://optovikufa.ru/product/242221/garnitura-vakuumnaya-besprovodnaya-borofone-bw43-belyy/" TargetMode="External"/><Relationship Id="rId_hyperlink_4318" Type="http://schemas.openxmlformats.org/officeDocument/2006/relationships/hyperlink" Target="https://optovikufa.ru/product/242222/garnitura-vakuumnaya-besprovodnaya-borofone-bw43-fioletovyy/" TargetMode="External"/><Relationship Id="rId_hyperlink_4319" Type="http://schemas.openxmlformats.org/officeDocument/2006/relationships/hyperlink" Target="https://optovikufa.ru/product/242223/garnitura-vakuumnaya-besprovodnaya-borofone-bw59-belyy/" TargetMode="External"/><Relationship Id="rId_hyperlink_4320" Type="http://schemas.openxmlformats.org/officeDocument/2006/relationships/hyperlink" Target="https://optovikufa.ru/product/236787/garnitura-besprovodnaya-defender-freemotion-b571-seraya-bluetooth/" TargetMode="External"/><Relationship Id="rId_hyperlink_4321" Type="http://schemas.openxmlformats.org/officeDocument/2006/relationships/hyperlink" Target="https://optovikufa.ru/product/239291/garnitura-besprovodnaya-defender-freemotion-b595-chernyy-bluetooth/" TargetMode="External"/><Relationship Id="rId_hyperlink_4322" Type="http://schemas.openxmlformats.org/officeDocument/2006/relationships/hyperlink" Target="https://optovikufa.ru/product/218588/garnitura-besprovodnaya-sy-bt1605/" TargetMode="External"/><Relationship Id="rId_hyperlink_4323" Type="http://schemas.openxmlformats.org/officeDocument/2006/relationships/hyperlink" Target="https://optovikufa.ru/product/236452/garnitura-besprovodnaya-polnorazmernaya-borofone-bo11-bluetooth-siniy/" TargetMode="External"/><Relationship Id="rId_hyperlink_4324" Type="http://schemas.openxmlformats.org/officeDocument/2006/relationships/hyperlink" Target="https://optovikufa.ru/product/232706/garnitura-besprovodnaya-polnorazmernaya-borofone-bo11-bluetooth-chernyy/" TargetMode="External"/><Relationship Id="rId_hyperlink_4325" Type="http://schemas.openxmlformats.org/officeDocument/2006/relationships/hyperlink" Target="https://optovikufa.ru/product/239031/garnitura-besprovodnaya-polnorazmernaya-borofone-bo12-bluetooth-siniy/" TargetMode="External"/><Relationship Id="rId_hyperlink_4326" Type="http://schemas.openxmlformats.org/officeDocument/2006/relationships/hyperlink" Target="https://optovikufa.ru/product/239030/garnitura-besprovodnaya-polnorazmernaya-borofone-bo12-bluetooth-chernyy/" TargetMode="External"/><Relationship Id="rId_hyperlink_4327" Type="http://schemas.openxmlformats.org/officeDocument/2006/relationships/hyperlink" Target="https://optovikufa.ru/product/239029/garnitura-besprovodnaya-polnorazmernaya-borofone-bo17-bluetooth-chernyy/" TargetMode="External"/><Relationship Id="rId_hyperlink_4328" Type="http://schemas.openxmlformats.org/officeDocument/2006/relationships/hyperlink" Target="https://optovikufa.ru/product/239021/garnitura-besprovodnaya-polnorazmernaya-borofone-bo19-bluetooth-siniy/" TargetMode="External"/><Relationship Id="rId_hyperlink_4329" Type="http://schemas.openxmlformats.org/officeDocument/2006/relationships/hyperlink" Target="https://optovikufa.ru/product/239020/garnitura-besprovodnaya-polnorazmernaya-borofone-bo19-bluetooth-chernyy/" TargetMode="External"/><Relationship Id="rId_hyperlink_4330" Type="http://schemas.openxmlformats.org/officeDocument/2006/relationships/hyperlink" Target="https://optovikufa.ru/product/236168/garnitura-besprovodnaya-polnorazmernaya-borofone-bo20-bluetooth-seryy/" TargetMode="External"/><Relationship Id="rId_hyperlink_4331" Type="http://schemas.openxmlformats.org/officeDocument/2006/relationships/hyperlink" Target="https://optovikufa.ru/product/240724/garnitura-besprovodnaya-polnorazmernaya-borofone-bo22-bluetooth-siniy/" TargetMode="External"/><Relationship Id="rId_hyperlink_4332" Type="http://schemas.openxmlformats.org/officeDocument/2006/relationships/hyperlink" Target="https://optovikufa.ru/product/241866/garnitura-besprovodnaya-polnorazmernaya-borofone-bo23-bluetooth-siniy/" TargetMode="External"/><Relationship Id="rId_hyperlink_4333" Type="http://schemas.openxmlformats.org/officeDocument/2006/relationships/hyperlink" Target="https://optovikufa.ru/product/241865/garnitura-besprovodnaya-polnorazmernaya-borofone-bo23-bluetooth-chernyy/" TargetMode="External"/><Relationship Id="rId_hyperlink_4334" Type="http://schemas.openxmlformats.org/officeDocument/2006/relationships/hyperlink" Target="https://optovikufa.ru/product/242039/garnitura-besprovodnaya-polnorazmernaya-borofone-bo24-bluetooth-siniy/" TargetMode="External"/><Relationship Id="rId_hyperlink_4335" Type="http://schemas.openxmlformats.org/officeDocument/2006/relationships/hyperlink" Target="https://optovikufa.ru/product/242212/garnitura-besprovodnaya-polnorazmernaya-borofone-bo25-bluetooth-belyy/" TargetMode="External"/><Relationship Id="rId_hyperlink_4336" Type="http://schemas.openxmlformats.org/officeDocument/2006/relationships/hyperlink" Target="https://optovikufa.ru/product/242798/garnitura-besprovodnaya-polnorazmernaya-borofone-bo25-bluetooth-chernyy/" TargetMode="External"/><Relationship Id="rId_hyperlink_4337" Type="http://schemas.openxmlformats.org/officeDocument/2006/relationships/hyperlink" Target="https://optovikufa.ru/product/224473/garnitura-besprovodnaya-polnorazmernaya-borofone-bo4-krasnyy/" TargetMode="External"/><Relationship Id="rId_hyperlink_4338" Type="http://schemas.openxmlformats.org/officeDocument/2006/relationships/hyperlink" Target="https://optovikufa.ru/product/224474/garnitura-besprovodnaya-polnorazmernaya-borofone-bo4-siniy/" TargetMode="External"/><Relationship Id="rId_hyperlink_4339" Type="http://schemas.openxmlformats.org/officeDocument/2006/relationships/hyperlink" Target="https://optovikufa.ru/product/220325/garnitura-besprovodnaya-polnorazmernaya-borofone-bo4-chernyy/" TargetMode="External"/><Relationship Id="rId_hyperlink_4340" Type="http://schemas.openxmlformats.org/officeDocument/2006/relationships/hyperlink" Target="https://optovikufa.ru/product/241885/garnitura-besprovodnaya-polnorazmernaya-hoco-esd14-chernyy/" TargetMode="External"/><Relationship Id="rId_hyperlink_4341" Type="http://schemas.openxmlformats.org/officeDocument/2006/relationships/hyperlink" Target="https://optovikufa.ru/product/220329/garnitura-besprovodnaya-polnorazmernaya-hoco-w25-krasnyy/" TargetMode="External"/><Relationship Id="rId_hyperlink_4342" Type="http://schemas.openxmlformats.org/officeDocument/2006/relationships/hyperlink" Target="https://optovikufa.ru/product/224477/garnitura-besprovodnaya-polnorazmernaya-hoco-w25-seryy/" TargetMode="External"/><Relationship Id="rId_hyperlink_4343" Type="http://schemas.openxmlformats.org/officeDocument/2006/relationships/hyperlink" Target="https://optovikufa.ru/product/231464/garnitura-besprovodnaya-polnorazmernaya-hoco-w25-siniy/" TargetMode="External"/><Relationship Id="rId_hyperlink_4344" Type="http://schemas.openxmlformats.org/officeDocument/2006/relationships/hyperlink" Target="https://optovikufa.ru/product/227295/garnitura-besprovodnaya-polnorazmernaya-hoco-w28-siniy/" TargetMode="External"/><Relationship Id="rId_hyperlink_4345" Type="http://schemas.openxmlformats.org/officeDocument/2006/relationships/hyperlink" Target="https://optovikufa.ru/product/224479/garnitura-besprovodnaya-polnorazmernaya-hoco-w28-chernyy/" TargetMode="External"/><Relationship Id="rId_hyperlink_4346" Type="http://schemas.openxmlformats.org/officeDocument/2006/relationships/hyperlink" Target="https://optovikufa.ru/product/239019/garnitura-besprovodnaya-polnorazmernaya-hoco-w30-krasnyy/" TargetMode="External"/><Relationship Id="rId_hyperlink_4347" Type="http://schemas.openxmlformats.org/officeDocument/2006/relationships/hyperlink" Target="https://optovikufa.ru/product/237180/garnitura-besprovodnaya-polnorazmernaya-hoco-w30-siniy/" TargetMode="External"/><Relationship Id="rId_hyperlink_4348" Type="http://schemas.openxmlformats.org/officeDocument/2006/relationships/hyperlink" Target="https://optovikufa.ru/product/237183/garnitura-besprovodnaya-polnorazmernaya-hoco-w33-seryy/" TargetMode="External"/><Relationship Id="rId_hyperlink_4349" Type="http://schemas.openxmlformats.org/officeDocument/2006/relationships/hyperlink" Target="https://optovikufa.ru/product/237184/garnitura-besprovodnaya-polnorazmernaya-hoco-w33-siniy/" TargetMode="External"/><Relationship Id="rId_hyperlink_4350" Type="http://schemas.openxmlformats.org/officeDocument/2006/relationships/hyperlink" Target="https://optovikufa.ru/product/239298/garnitura-besprovodnaya-polnorazmernaya-hoco-w40-siniy/" TargetMode="External"/><Relationship Id="rId_hyperlink_4351" Type="http://schemas.openxmlformats.org/officeDocument/2006/relationships/hyperlink" Target="https://optovikufa.ru/product/240728/garnitura-besprovodnaya-polnorazmernaya-hoco-w41-rozovyy/" TargetMode="External"/><Relationship Id="rId_hyperlink_4352" Type="http://schemas.openxmlformats.org/officeDocument/2006/relationships/hyperlink" Target="https://optovikufa.ru/product/242213/garnitura-besprovodnaya-polnorazmernaya-hoco-w43-belyy/" TargetMode="External"/><Relationship Id="rId_hyperlink_4353" Type="http://schemas.openxmlformats.org/officeDocument/2006/relationships/hyperlink" Target="https://optovikufa.ru/product/242214/garnitura-besprovodnaya-polnorazmernaya-hoco-w43-siniy/" TargetMode="External"/><Relationship Id="rId_hyperlink_4354" Type="http://schemas.openxmlformats.org/officeDocument/2006/relationships/hyperlink" Target="https://optovikufa.ru/product/242215/garnitura-besprovodnaya-polnorazmernaya-hoco-w43-fioletovyy/" TargetMode="External"/><Relationship Id="rId_hyperlink_4355" Type="http://schemas.openxmlformats.org/officeDocument/2006/relationships/hyperlink" Target="https://optovikufa.ru/product/241413/garnitura-besprovodnaya-polnorazmernaya-hoco-w46-korichnevyy/" TargetMode="External"/><Relationship Id="rId_hyperlink_4356" Type="http://schemas.openxmlformats.org/officeDocument/2006/relationships/hyperlink" Target="https://optovikufa.ru/product/233928/garnitura-polnorazmernaya-besprovodnaya-defender-freemotion-b552-chernyy-bluetooth/" TargetMode="External"/><Relationship Id="rId_hyperlink_4357" Type="http://schemas.openxmlformats.org/officeDocument/2006/relationships/hyperlink" Target="https://optovikufa.ru/product/236786/garnitura-polnorazmernaya-besprovodnaya-defender-freemotion-b555-chernyy-bluetooth/" TargetMode="External"/><Relationship Id="rId_hyperlink_4358" Type="http://schemas.openxmlformats.org/officeDocument/2006/relationships/hyperlink" Target="https://optovikufa.ru/product/231521/garnitura-polnorazmernaya-besprovodnaya-defender-freemotion-b575-chernyykrasnyy-bluetooth/" TargetMode="External"/><Relationship Id="rId_hyperlink_4359" Type="http://schemas.openxmlformats.org/officeDocument/2006/relationships/hyperlink" Target="https://optovikufa.ru/product/221506/garnitura-polnorazmernaya-besprovodnaya-dream-drm-p47-zelenyy/" TargetMode="External"/><Relationship Id="rId_hyperlink_4360" Type="http://schemas.openxmlformats.org/officeDocument/2006/relationships/hyperlink" Target="https://optovikufa.ru/product/221518/garnitura-polnorazmernaya-besprovodnaya-dream-drm-p47-krasnyy/" TargetMode="External"/><Relationship Id="rId_hyperlink_4361" Type="http://schemas.openxmlformats.org/officeDocument/2006/relationships/hyperlink" Target="https://optovikufa.ru/product/221519/garnitura-polnorazmernaya-besprovodnaya-dream-drm-p47-siniy/" TargetMode="External"/><Relationship Id="rId_hyperlink_4362" Type="http://schemas.openxmlformats.org/officeDocument/2006/relationships/hyperlink" Target="https://optovikufa.ru/product/221520/garnitura-polnorazmernaya-besprovodnaya-dream-drm-p47-chernyy/" TargetMode="External"/><Relationship Id="rId_hyperlink_4363" Type="http://schemas.openxmlformats.org/officeDocument/2006/relationships/hyperlink" Target="https://optovikufa.ru/product/234983/garnitura-polnorazmernaya-besprovodnaya-dream-p47m-chernyy/" TargetMode="External"/><Relationship Id="rId_hyperlink_4364" Type="http://schemas.openxmlformats.org/officeDocument/2006/relationships/hyperlink" Target="https://optovikufa.ru/product/235194/garnitura-polnorazmernaya-besprovodnaya-perfeo-mate-chernye/" TargetMode="External"/><Relationship Id="rId_hyperlink_4365" Type="http://schemas.openxmlformats.org/officeDocument/2006/relationships/hyperlink" Target="https://optovikufa.ru/product/233667/garnitura-vakuumnaya-afkas-nova-af-61/" TargetMode="External"/><Relationship Id="rId_hyperlink_4366" Type="http://schemas.openxmlformats.org/officeDocument/2006/relationships/hyperlink" Target="https://optovikufa.ru/product/220262/garnitura-vakuumnaya-borofone-bm20-belyy/" TargetMode="External"/><Relationship Id="rId_hyperlink_4367" Type="http://schemas.openxmlformats.org/officeDocument/2006/relationships/hyperlink" Target="https://optovikufa.ru/product/220263/garnitura-vakuumnaya-borofone-bm20-chernyy/" TargetMode="External"/><Relationship Id="rId_hyperlink_4368" Type="http://schemas.openxmlformats.org/officeDocument/2006/relationships/hyperlink" Target="https://optovikufa.ru/product/221904/garnitura-vakuumnaya-borofone-bm21-belyy/" TargetMode="External"/><Relationship Id="rId_hyperlink_4369" Type="http://schemas.openxmlformats.org/officeDocument/2006/relationships/hyperlink" Target="https://optovikufa.ru/product/219420/garnitura-vakuumnaya-borofone-bm21-chernyy/" TargetMode="External"/><Relationship Id="rId_hyperlink_4370" Type="http://schemas.openxmlformats.org/officeDocument/2006/relationships/hyperlink" Target="https://optovikufa.ru/product/221905/garnitura-vakuumnaya-borofone-bm23-belyy/" TargetMode="External"/><Relationship Id="rId_hyperlink_4371" Type="http://schemas.openxmlformats.org/officeDocument/2006/relationships/hyperlink" Target="https://optovikufa.ru/product/220707/garnitura-vakuumnaya-borofone-bm24-belyy/" TargetMode="External"/><Relationship Id="rId_hyperlink_4372" Type="http://schemas.openxmlformats.org/officeDocument/2006/relationships/hyperlink" Target="https://optovikufa.ru/product/219421/garnitura-vakuumnaya-borofone-bm24-chernyy/" TargetMode="External"/><Relationship Id="rId_hyperlink_4373" Type="http://schemas.openxmlformats.org/officeDocument/2006/relationships/hyperlink" Target="https://optovikufa.ru/product/221242/garnitura-vakuumnaya-borofone-bm25-belyy/" TargetMode="External"/><Relationship Id="rId_hyperlink_4374" Type="http://schemas.openxmlformats.org/officeDocument/2006/relationships/hyperlink" Target="https://optovikufa.ru/product/219423/garnitura-vakuumnaya-borofone-bm25-chernyy/" TargetMode="External"/><Relationship Id="rId_hyperlink_4375" Type="http://schemas.openxmlformats.org/officeDocument/2006/relationships/hyperlink" Target="https://optovikufa.ru/product/228631/garnitura-vakuumnaya-borofone-bm26-belyy/" TargetMode="External"/><Relationship Id="rId_hyperlink_4376" Type="http://schemas.openxmlformats.org/officeDocument/2006/relationships/hyperlink" Target="https://optovikufa.ru/product/219424/garnitura-vakuumnaya-borofone-bm26-chernyy/" TargetMode="External"/><Relationship Id="rId_hyperlink_4377" Type="http://schemas.openxmlformats.org/officeDocument/2006/relationships/hyperlink" Target="https://optovikufa.ru/product/221244/garnitura-vakuumnaya-borofone-bm28-belyy/" TargetMode="External"/><Relationship Id="rId_hyperlink_4378" Type="http://schemas.openxmlformats.org/officeDocument/2006/relationships/hyperlink" Target="https://optovikufa.ru/product/220320/garnitura-vakuumnaya-borofone-bm28-chernyy/" TargetMode="External"/><Relationship Id="rId_hyperlink_4379" Type="http://schemas.openxmlformats.org/officeDocument/2006/relationships/hyperlink" Target="https://optovikufa.ru/product/220321/garnitura-vakuumnaya-borofone-bm29-chernyy/" TargetMode="External"/><Relationship Id="rId_hyperlink_4380" Type="http://schemas.openxmlformats.org/officeDocument/2006/relationships/hyperlink" Target="https://optovikufa.ru/product/224380/garnitura-vakuumnaya-borofone-bm30pro-belyy/" TargetMode="External"/><Relationship Id="rId_hyperlink_4381" Type="http://schemas.openxmlformats.org/officeDocument/2006/relationships/hyperlink" Target="https://optovikufa.ru/product/220266/garnitura-vakuumnaya-borofone-bm31-belyy/" TargetMode="External"/><Relationship Id="rId_hyperlink_4382" Type="http://schemas.openxmlformats.org/officeDocument/2006/relationships/hyperlink" Target="https://optovikufa.ru/product/220267/garnitura-vakuumnaya-borofone-bm31-chernyy/" TargetMode="External"/><Relationship Id="rId_hyperlink_4383" Type="http://schemas.openxmlformats.org/officeDocument/2006/relationships/hyperlink" Target="https://optovikufa.ru/product/227315/garnitura-vakuumnaya-borofone-bm35-serebro/" TargetMode="External"/><Relationship Id="rId_hyperlink_4384" Type="http://schemas.openxmlformats.org/officeDocument/2006/relationships/hyperlink" Target="https://optovikufa.ru/product/227316/garnitura-vakuumnaya-borofone-bm35-chernyy/" TargetMode="External"/><Relationship Id="rId_hyperlink_4385" Type="http://schemas.openxmlformats.org/officeDocument/2006/relationships/hyperlink" Target="https://optovikufa.ru/product/231133/garnitura-vakuumnaya-borofone-bm36-chernyy/" TargetMode="External"/><Relationship Id="rId_hyperlink_4386" Type="http://schemas.openxmlformats.org/officeDocument/2006/relationships/hyperlink" Target="https://optovikufa.ru/product/230569/garnitura-vakuumnaya-borofone-bm37-belyy/" TargetMode="External"/><Relationship Id="rId_hyperlink_4387" Type="http://schemas.openxmlformats.org/officeDocument/2006/relationships/hyperlink" Target="https://optovikufa.ru/product/230570/garnitura-vakuumnaya-borofone-bm37-chernyy/" TargetMode="External"/><Relationship Id="rId_hyperlink_4388" Type="http://schemas.openxmlformats.org/officeDocument/2006/relationships/hyperlink" Target="https://optovikufa.ru/product/225875/garnitura-vakuumnaya-borofone-bm39-belyy/" TargetMode="External"/><Relationship Id="rId_hyperlink_4389" Type="http://schemas.openxmlformats.org/officeDocument/2006/relationships/hyperlink" Target="https://optovikufa.ru/product/226452/garnitura-vakuumnaya-borofone-bm39-chernyy/" TargetMode="External"/><Relationship Id="rId_hyperlink_4390" Type="http://schemas.openxmlformats.org/officeDocument/2006/relationships/hyperlink" Target="https://optovikufa.ru/product/228632/garnitura-vakuumnaya-borofone-bm42-belyy/" TargetMode="External"/><Relationship Id="rId_hyperlink_4391" Type="http://schemas.openxmlformats.org/officeDocument/2006/relationships/hyperlink" Target="https://optovikufa.ru/product/228633/garnitura-vakuumnaya-borofone-bm43-belyy/" TargetMode="External"/><Relationship Id="rId_hyperlink_4392" Type="http://schemas.openxmlformats.org/officeDocument/2006/relationships/hyperlink" Target="https://optovikufa.ru/product/232945/garnitura-vakuumnaya-borofone-bm43-chernyy/" TargetMode="External"/><Relationship Id="rId_hyperlink_4393" Type="http://schemas.openxmlformats.org/officeDocument/2006/relationships/hyperlink" Target="https://optovikufa.ru/product/227317/garnitura-vakuumnaya-borofone-bm45-belyy/" TargetMode="External"/><Relationship Id="rId_hyperlink_4394" Type="http://schemas.openxmlformats.org/officeDocument/2006/relationships/hyperlink" Target="https://optovikufa.ru/product/229171/garnitura-vakuumnaya-borofone-bm49-belyy/" TargetMode="External"/><Relationship Id="rId_hyperlink_4395" Type="http://schemas.openxmlformats.org/officeDocument/2006/relationships/hyperlink" Target="https://optovikufa.ru/product/235041/garnitura-vakuumnaya-borofone-bm54-chernyy/" TargetMode="External"/><Relationship Id="rId_hyperlink_4396" Type="http://schemas.openxmlformats.org/officeDocument/2006/relationships/hyperlink" Target="https://optovikufa.ru/product/227320/garnitura-vakuumnaya-borofone-bm55-chernyy/" TargetMode="External"/><Relationship Id="rId_hyperlink_4397" Type="http://schemas.openxmlformats.org/officeDocument/2006/relationships/hyperlink" Target="https://optovikufa.ru/product/231856/garnitura-vakuumnaya-borofone-bm59-belyy/" TargetMode="External"/><Relationship Id="rId_hyperlink_4398" Type="http://schemas.openxmlformats.org/officeDocument/2006/relationships/hyperlink" Target="https://optovikufa.ru/product/232952/garnitura-vakuumnaya-borofone-bm59-chernyy/" TargetMode="External"/><Relationship Id="rId_hyperlink_4399" Type="http://schemas.openxmlformats.org/officeDocument/2006/relationships/hyperlink" Target="https://optovikufa.ru/product/233438/garnitura-vakuumnaya-borofone-bm61-belyy/" TargetMode="External"/><Relationship Id="rId_hyperlink_4400" Type="http://schemas.openxmlformats.org/officeDocument/2006/relationships/hyperlink" Target="https://optovikufa.ru/product/232713/garnitura-vakuumnaya-borofone-bm62-krasnyy/" TargetMode="External"/><Relationship Id="rId_hyperlink_4401" Type="http://schemas.openxmlformats.org/officeDocument/2006/relationships/hyperlink" Target="https://optovikufa.ru/product/232714/garnitura-vakuumnaya-borofone-bm62-serebryanyy/" TargetMode="External"/><Relationship Id="rId_hyperlink_4402" Type="http://schemas.openxmlformats.org/officeDocument/2006/relationships/hyperlink" Target="https://optovikufa.ru/product/235044/garnitura-vakuumnaya-borofone-bm63-belyy/" TargetMode="External"/><Relationship Id="rId_hyperlink_4403" Type="http://schemas.openxmlformats.org/officeDocument/2006/relationships/hyperlink" Target="https://optovikufa.ru/product/233392/garnitura-vakuumnaya-borofone-bm64-belyy/" TargetMode="External"/><Relationship Id="rId_hyperlink_4404" Type="http://schemas.openxmlformats.org/officeDocument/2006/relationships/hyperlink" Target="https://optovikufa.ru/product/233393/garnitura-vakuumnaya-borofone-bm64-chernyy/" TargetMode="External"/><Relationship Id="rId_hyperlink_4405" Type="http://schemas.openxmlformats.org/officeDocument/2006/relationships/hyperlink" Target="https://optovikufa.ru/product/232715/garnitura-vakuumnaya-borofone-bm65-siniy/" TargetMode="External"/><Relationship Id="rId_hyperlink_4406" Type="http://schemas.openxmlformats.org/officeDocument/2006/relationships/hyperlink" Target="https://optovikufa.ru/product/235433/garnitura-vakuumnaya-borofone-bm65-chernyy/" TargetMode="External"/><Relationship Id="rId_hyperlink_4407" Type="http://schemas.openxmlformats.org/officeDocument/2006/relationships/hyperlink" Target="https://optovikufa.ru/product/236066/garnitura-vakuumnaya-borofone-bm66-serebro/" TargetMode="External"/><Relationship Id="rId_hyperlink_4408" Type="http://schemas.openxmlformats.org/officeDocument/2006/relationships/hyperlink" Target="https://optovikufa.ru/product/233513/garnitura-vakuumnaya-borofone-bm66-seryy/" TargetMode="External"/><Relationship Id="rId_hyperlink_4409" Type="http://schemas.openxmlformats.org/officeDocument/2006/relationships/hyperlink" Target="https://optovikufa.ru/product/233394/garnitura-vakuumnaya-borofone-bm68-belyy/" TargetMode="External"/><Relationship Id="rId_hyperlink_4410" Type="http://schemas.openxmlformats.org/officeDocument/2006/relationships/hyperlink" Target="https://optovikufa.ru/product/233395/garnitura-vakuumnaya-borofone-bm68-chernyy/" TargetMode="External"/><Relationship Id="rId_hyperlink_4411" Type="http://schemas.openxmlformats.org/officeDocument/2006/relationships/hyperlink" Target="https://optovikufa.ru/product/236147/garnitura-vakuumnaya-borofone-bm69-belyy/" TargetMode="External"/><Relationship Id="rId_hyperlink_4412" Type="http://schemas.openxmlformats.org/officeDocument/2006/relationships/hyperlink" Target="https://optovikufa.ru/product/236146/garnitura-vakuumnaya-borofone-bm69-chernyy/" TargetMode="External"/><Relationship Id="rId_hyperlink_4413" Type="http://schemas.openxmlformats.org/officeDocument/2006/relationships/hyperlink" Target="https://optovikufa.ru/product/239302/garnitura-vakuumnaya-borofone-bm70-serebro/" TargetMode="External"/><Relationship Id="rId_hyperlink_4414" Type="http://schemas.openxmlformats.org/officeDocument/2006/relationships/hyperlink" Target="https://optovikufa.ru/product/239303/garnitura-vakuumnaya-borofone-bm70-seryy/" TargetMode="External"/><Relationship Id="rId_hyperlink_4415" Type="http://schemas.openxmlformats.org/officeDocument/2006/relationships/hyperlink" Target="https://optovikufa.ru/product/239017/garnitura-vakuumnaya-borofone-bm72-belyy-upakpak/" TargetMode="External"/><Relationship Id="rId_hyperlink_4416" Type="http://schemas.openxmlformats.org/officeDocument/2006/relationships/hyperlink" Target="https://optovikufa.ru/product/240730/garnitura-vakuumnaya-borofone-bm74-chernyy-upakpak/" TargetMode="External"/><Relationship Id="rId_hyperlink_4417" Type="http://schemas.openxmlformats.org/officeDocument/2006/relationships/hyperlink" Target="https://optovikufa.ru/product/240731/garnitura-vakuumnaya-borofone-bm75-serebro-upakpak/" TargetMode="External"/><Relationship Id="rId_hyperlink_4418" Type="http://schemas.openxmlformats.org/officeDocument/2006/relationships/hyperlink" Target="https://optovikufa.ru/product/243115/garnitura-vakuumnaya-borofone-bm76-belyy/" TargetMode="External"/><Relationship Id="rId_hyperlink_4419" Type="http://schemas.openxmlformats.org/officeDocument/2006/relationships/hyperlink" Target="https://optovikufa.ru/product/243114/garnitura-vakuumnaya-borofone-bm76-chernyy/" TargetMode="External"/><Relationship Id="rId_hyperlink_4420" Type="http://schemas.openxmlformats.org/officeDocument/2006/relationships/hyperlink" Target="https://optovikufa.ru/product/240813/garnitura-vakuumnaya-borofone-bm77-belyy-upakpak/" TargetMode="External"/><Relationship Id="rId_hyperlink_4421" Type="http://schemas.openxmlformats.org/officeDocument/2006/relationships/hyperlink" Target="https://optovikufa.ru/product/240732/garnitura-vakuumnaya-borofone-bm77-chernyy-upakpak/" TargetMode="External"/><Relationship Id="rId_hyperlink_4422" Type="http://schemas.openxmlformats.org/officeDocument/2006/relationships/hyperlink" Target="https://optovikufa.ru/product/241862/garnitura-vakuumnaya-borofone-bm83-belyy/" TargetMode="External"/><Relationship Id="rId_hyperlink_4423" Type="http://schemas.openxmlformats.org/officeDocument/2006/relationships/hyperlink" Target="https://optovikufa.ru/product/241864/garnitura-vakuumnaya-borofone-bm84-belyy/" TargetMode="External"/><Relationship Id="rId_hyperlink_4424" Type="http://schemas.openxmlformats.org/officeDocument/2006/relationships/hyperlink" Target="https://optovikufa.ru/product/242041/garnitura-vakuumnaya-borofone-bm84-chernyy/" TargetMode="External"/><Relationship Id="rId_hyperlink_4425" Type="http://schemas.openxmlformats.org/officeDocument/2006/relationships/hyperlink" Target="https://optovikufa.ru/product/236157/garnitura-vakuumnaya-hoco-m101-belyy/" TargetMode="External"/><Relationship Id="rId_hyperlink_4426" Type="http://schemas.openxmlformats.org/officeDocument/2006/relationships/hyperlink" Target="https://optovikufa.ru/product/236156/garnitura-vakuumnaya-hoco-m101-chernyy/" TargetMode="External"/><Relationship Id="rId_hyperlink_4427" Type="http://schemas.openxmlformats.org/officeDocument/2006/relationships/hyperlink" Target="https://optovikufa.ru/product/242801/garnitura-vakuumnaya-hoco-m102-belyy/" TargetMode="External"/><Relationship Id="rId_hyperlink_4428" Type="http://schemas.openxmlformats.org/officeDocument/2006/relationships/hyperlink" Target="https://optovikufa.ru/product/242802/garnitura-vakuumnaya-hoco-m102-chernyy/" TargetMode="External"/><Relationship Id="rId_hyperlink_4429" Type="http://schemas.openxmlformats.org/officeDocument/2006/relationships/hyperlink" Target="https://optovikufa.ru/product/242803/garnitura-vakuumnaya-hoco-m103-belyy/" TargetMode="External"/><Relationship Id="rId_hyperlink_4430" Type="http://schemas.openxmlformats.org/officeDocument/2006/relationships/hyperlink" Target="https://optovikufa.ru/product/240733/garnitura-vakuumnaya-hoco-m106-serebro/" TargetMode="External"/><Relationship Id="rId_hyperlink_4431" Type="http://schemas.openxmlformats.org/officeDocument/2006/relationships/hyperlink" Target="https://optovikufa.ru/product/240734/garnitura-vakuumnaya-hoco-m106-seryy/" TargetMode="External"/><Relationship Id="rId_hyperlink_4432" Type="http://schemas.openxmlformats.org/officeDocument/2006/relationships/hyperlink" Target="https://optovikufa.ru/product/240737/garnitura-vakuumnaya-hoco-m107-oranzhevyy/" TargetMode="External"/><Relationship Id="rId_hyperlink_4433" Type="http://schemas.openxmlformats.org/officeDocument/2006/relationships/hyperlink" Target="https://optovikufa.ru/product/240738/garnitura-vakuumnaya-hoco-m107-fioletovyy/" TargetMode="External"/><Relationship Id="rId_hyperlink_4434" Type="http://schemas.openxmlformats.org/officeDocument/2006/relationships/hyperlink" Target="https://optovikufa.ru/product/240739/garnitura-vakuumnaya-hoco-m108-serebro/" TargetMode="External"/><Relationship Id="rId_hyperlink_4435" Type="http://schemas.openxmlformats.org/officeDocument/2006/relationships/hyperlink" Target="https://optovikufa.ru/product/242042/garnitura-vakuumnaya-hoco-m112-belyy/" TargetMode="External"/><Relationship Id="rId_hyperlink_4436" Type="http://schemas.openxmlformats.org/officeDocument/2006/relationships/hyperlink" Target="https://optovikufa.ru/product/242043/garnitura-vakuumnaya-hoco-m112-chernyy/" TargetMode="External"/><Relationship Id="rId_hyperlink_4437" Type="http://schemas.openxmlformats.org/officeDocument/2006/relationships/hyperlink" Target="https://optovikufa.ru/product/178282/garnitura-vakuumnaya-hoco-m14-krasnyy/" TargetMode="External"/><Relationship Id="rId_hyperlink_4438" Type="http://schemas.openxmlformats.org/officeDocument/2006/relationships/hyperlink" Target="https://optovikufa.ru/product/158700/garnitura-vakuumnaya-hoco-m34-belyy/" TargetMode="External"/><Relationship Id="rId_hyperlink_4439" Type="http://schemas.openxmlformats.org/officeDocument/2006/relationships/hyperlink" Target="https://optovikufa.ru/product/218623/garnitura-vakuumnaya-hoco-m37-belyy/" TargetMode="External"/><Relationship Id="rId_hyperlink_4440" Type="http://schemas.openxmlformats.org/officeDocument/2006/relationships/hyperlink" Target="https://optovikufa.ru/product/217559/garnitura-vakuumnaya-hoco-m37-chernyy/" TargetMode="External"/><Relationship Id="rId_hyperlink_4441" Type="http://schemas.openxmlformats.org/officeDocument/2006/relationships/hyperlink" Target="https://optovikufa.ru/product/217254/garnitura-vakuumnaya-hoco-m40-belyy/" TargetMode="External"/><Relationship Id="rId_hyperlink_4442" Type="http://schemas.openxmlformats.org/officeDocument/2006/relationships/hyperlink" Target="https://optovikufa.ru/product/220118/garnitura-vakuumnaya-hoco-m58-belyy/" TargetMode="External"/><Relationship Id="rId_hyperlink_4443" Type="http://schemas.openxmlformats.org/officeDocument/2006/relationships/hyperlink" Target="https://optovikufa.ru/product/219736/garnitura-vakuumnaya-hoco-m58-chernyy/" TargetMode="External"/><Relationship Id="rId_hyperlink_4444" Type="http://schemas.openxmlformats.org/officeDocument/2006/relationships/hyperlink" Target="https://optovikufa.ru/product/220120/garnitura-vakuumnaya-hoco-m60-belyy/" TargetMode="External"/><Relationship Id="rId_hyperlink_4445" Type="http://schemas.openxmlformats.org/officeDocument/2006/relationships/hyperlink" Target="https://optovikufa.ru/product/220121/garnitura-vakuumnaya-hoco-m61-odin-naushnik-belyy/" TargetMode="External"/><Relationship Id="rId_hyperlink_4446" Type="http://schemas.openxmlformats.org/officeDocument/2006/relationships/hyperlink" Target="https://optovikufa.ru/product/220134/garnitura-vakuumnaya-hoco-m61-odin-naushnik-chernyy/" TargetMode="External"/><Relationship Id="rId_hyperlink_4447" Type="http://schemas.openxmlformats.org/officeDocument/2006/relationships/hyperlink" Target="https://optovikufa.ru/product/221846/garnitura-vakuumnaya-hoco-m63-serebro/" TargetMode="External"/><Relationship Id="rId_hyperlink_4448" Type="http://schemas.openxmlformats.org/officeDocument/2006/relationships/hyperlink" Target="https://optovikufa.ru/product/221847/garnitura-vakuumnaya-hoco-m63-chernyy/" TargetMode="External"/><Relationship Id="rId_hyperlink_4449" Type="http://schemas.openxmlformats.org/officeDocument/2006/relationships/hyperlink" Target="https://optovikufa.ru/product/228430/garnitura-vakuumnaya-hoco-m70-belyy/" TargetMode="External"/><Relationship Id="rId_hyperlink_4450" Type="http://schemas.openxmlformats.org/officeDocument/2006/relationships/hyperlink" Target="https://optovikufa.ru/product/226424/garnitura-vakuumnaya-hoco-m71-belyy/" TargetMode="External"/><Relationship Id="rId_hyperlink_4451" Type="http://schemas.openxmlformats.org/officeDocument/2006/relationships/hyperlink" Target="https://optovikufa.ru/product/222997/garnitura-vakuumnaya-hoco-m72-belyy/" TargetMode="External"/><Relationship Id="rId_hyperlink_4452" Type="http://schemas.openxmlformats.org/officeDocument/2006/relationships/hyperlink" Target="https://optovikufa.ru/product/222998/garnitura-vakuumnaya-hoco-m72-siniy/" TargetMode="External"/><Relationship Id="rId_hyperlink_4453" Type="http://schemas.openxmlformats.org/officeDocument/2006/relationships/hyperlink" Target="https://optovikufa.ru/product/222999/garnitura-vakuumnaya-hoco-m72-chernyy/" TargetMode="External"/><Relationship Id="rId_hyperlink_4454" Type="http://schemas.openxmlformats.org/officeDocument/2006/relationships/hyperlink" Target="https://optovikufa.ru/product/235435/garnitura-vakuumnaya-hoco-m79-chernyy/" TargetMode="External"/><Relationship Id="rId_hyperlink_4455" Type="http://schemas.openxmlformats.org/officeDocument/2006/relationships/hyperlink" Target="https://optovikufa.ru/product/230193/garnitura-vakuumnaya-hoco-m82-belyy/" TargetMode="External"/><Relationship Id="rId_hyperlink_4456" Type="http://schemas.openxmlformats.org/officeDocument/2006/relationships/hyperlink" Target="https://optovikufa.ru/product/242216/garnitura-vakuumnaya-hoco-m86-belyy/" TargetMode="External"/><Relationship Id="rId_hyperlink_4457" Type="http://schemas.openxmlformats.org/officeDocument/2006/relationships/hyperlink" Target="https://optovikufa.ru/product/236071/garnitura-vakuumnaya-hoco-m86-siniy/" TargetMode="External"/><Relationship Id="rId_hyperlink_4458" Type="http://schemas.openxmlformats.org/officeDocument/2006/relationships/hyperlink" Target="https://optovikufa.ru/product/236153/garnitura-vakuumnaya-hoco-m94-belyy/" TargetMode="External"/><Relationship Id="rId_hyperlink_4459" Type="http://schemas.openxmlformats.org/officeDocument/2006/relationships/hyperlink" Target="https://optovikufa.ru/product/236152/garnitura-vakuumnaya-hoco-m94-chernyy/" TargetMode="External"/><Relationship Id="rId_hyperlink_4460" Type="http://schemas.openxmlformats.org/officeDocument/2006/relationships/hyperlink" Target="https://optovikufa.ru/product/236151/garnitura-vakuumnaya-hoco-m98-serebro/" TargetMode="External"/><Relationship Id="rId_hyperlink_4461" Type="http://schemas.openxmlformats.org/officeDocument/2006/relationships/hyperlink" Target="https://optovikufa.ru/product/236150/garnitura-vakuumnaya-hoco-m98-seryy/" TargetMode="External"/><Relationship Id="rId_hyperlink_4462" Type="http://schemas.openxmlformats.org/officeDocument/2006/relationships/hyperlink" Target="https://optovikufa.ru/product/236149/garnitura-vakuumnaya-hoco-m99-belyy/" TargetMode="External"/><Relationship Id="rId_hyperlink_4463" Type="http://schemas.openxmlformats.org/officeDocument/2006/relationships/hyperlink" Target="https://optovikufa.ru/product/236148/garnitura-vakuumnaya-hoco-m99-chernyy/" TargetMode="External"/><Relationship Id="rId_hyperlink_4464" Type="http://schemas.openxmlformats.org/officeDocument/2006/relationships/hyperlink" Target="https://optovikufa.ru/product/236563/garnitura-vakuumnaya-winmax-ws604-belyy/" TargetMode="External"/><Relationship Id="rId_hyperlink_4465" Type="http://schemas.openxmlformats.org/officeDocument/2006/relationships/hyperlink" Target="https://optovikufa.ru/product/218778/garnitura-vakuumnaya-stereo-celebrat-d2-belyy/" TargetMode="External"/><Relationship Id="rId_hyperlink_4466" Type="http://schemas.openxmlformats.org/officeDocument/2006/relationships/hyperlink" Target="https://optovikufa.ru/product/218781/garnitura-vakuumnaya-stereo-celebrat-d2-chernyy/" TargetMode="External"/><Relationship Id="rId_hyperlink_4467" Type="http://schemas.openxmlformats.org/officeDocument/2006/relationships/hyperlink" Target="https://optovikufa.ru/product/217248/garnitura-vakuumnaya-stereo-celebrat-d3-belyy/" TargetMode="External"/><Relationship Id="rId_hyperlink_4468" Type="http://schemas.openxmlformats.org/officeDocument/2006/relationships/hyperlink" Target="https://optovikufa.ru/product/217249/garnitura-vakuumnaya-stereo-celebrat-d3-chernyy/" TargetMode="External"/><Relationship Id="rId_hyperlink_4469" Type="http://schemas.openxmlformats.org/officeDocument/2006/relationships/hyperlink" Target="https://optovikufa.ru/product/228906/garnitura-vakuumnaya-stereo-celebrat-g13-belyy/" TargetMode="External"/><Relationship Id="rId_hyperlink_4470" Type="http://schemas.openxmlformats.org/officeDocument/2006/relationships/hyperlink" Target="https://optovikufa.ru/product/228907/garnitura-vakuumnaya-stereo-celebrat-g13-chernyy/" TargetMode="External"/><Relationship Id="rId_hyperlink_4471" Type="http://schemas.openxmlformats.org/officeDocument/2006/relationships/hyperlink" Target="https://optovikufa.ru/product/218782/garnitura-vakuumnaya-stereo-celebrat-g3-chernyy/" TargetMode="External"/><Relationship Id="rId_hyperlink_4472" Type="http://schemas.openxmlformats.org/officeDocument/2006/relationships/hyperlink" Target="https://optovikufa.ru/product/218784/garnitura-vakuumnaya-stereo-celebrat-g4-chernyy/" TargetMode="External"/><Relationship Id="rId_hyperlink_4473" Type="http://schemas.openxmlformats.org/officeDocument/2006/relationships/hyperlink" Target="https://optovikufa.ru/product/221522/garnitura-vakuumnaya-stereo-dream-drm-k58-belyy/" TargetMode="External"/><Relationship Id="rId_hyperlink_4474" Type="http://schemas.openxmlformats.org/officeDocument/2006/relationships/hyperlink" Target="https://optovikufa.ru/product/221521/garnitura-vakuumnaya-stereo-dream-drm-k58-01-chernyy/" TargetMode="External"/><Relationship Id="rId_hyperlink_4475" Type="http://schemas.openxmlformats.org/officeDocument/2006/relationships/hyperlink" Target="https://optovikufa.ru/product/221147/garnitura-vakuumnaya-stereo-dream-k68-chernyy/" TargetMode="External"/><Relationship Id="rId_hyperlink_4476" Type="http://schemas.openxmlformats.org/officeDocument/2006/relationships/hyperlink" Target="https://optovikufa.ru/product/219515/garnitura-vakuumnaya-stereo-dream-s4-belyy/" TargetMode="External"/><Relationship Id="rId_hyperlink_4477" Type="http://schemas.openxmlformats.org/officeDocument/2006/relationships/hyperlink" Target="https://optovikufa.ru/product/219516/garnitura-vakuumnaya-stereo-dream-s4-chernyy/" TargetMode="External"/><Relationship Id="rId_hyperlink_4478" Type="http://schemas.openxmlformats.org/officeDocument/2006/relationships/hyperlink" Target="https://optovikufa.ru/product/223604/garnitura-vakuumnaya-stereo-dream-y1-belyy/" TargetMode="External"/><Relationship Id="rId_hyperlink_4479" Type="http://schemas.openxmlformats.org/officeDocument/2006/relationships/hyperlink" Target="https://optovikufa.ru/product/228385/garnitura-vakuumnaya-stereo-dream-y1-chernyy/" TargetMode="External"/><Relationship Id="rId_hyperlink_4480" Type="http://schemas.openxmlformats.org/officeDocument/2006/relationships/hyperlink" Target="https://optovikufa.ru/product/160467/garnitura-vakuumnaya-stereo-jbl-c100-siu-12m-20-20000gc-16om-103dbmvt-belaya/" TargetMode="External"/><Relationship Id="rId_hyperlink_4481" Type="http://schemas.openxmlformats.org/officeDocument/2006/relationships/hyperlink" Target="https://optovikufa.ru/product/160468/garnitura-vakuumnaya-stereo-jbl-c100-siu-12m-20-20000gc-16om-103dbmvt-krasnaya/" TargetMode="External"/><Relationship Id="rId_hyperlink_4482" Type="http://schemas.openxmlformats.org/officeDocument/2006/relationships/hyperlink" Target="https://optovikufa.ru/product/160470/garnitura-vakuumnaya-stereo-jbl-t110-12m-20-20000gc-16om-100dbmvt-chernaya/" TargetMode="External"/><Relationship Id="rId_hyperlink_4483" Type="http://schemas.openxmlformats.org/officeDocument/2006/relationships/hyperlink" Target="https://optovikufa.ru/product/217998/garnitura-vakuumnaya-stereo-smartbuy-s4-belyy-sbh-012k/" TargetMode="External"/><Relationship Id="rId_hyperlink_4484" Type="http://schemas.openxmlformats.org/officeDocument/2006/relationships/hyperlink" Target="https://optovikufa.ru/product/227509/garnitura-vakuumnaya-stereo-smartbuy-s9-zheltyy-sbh-660/" TargetMode="External"/><Relationship Id="rId_hyperlink_4485" Type="http://schemas.openxmlformats.org/officeDocument/2006/relationships/hyperlink" Target="https://optovikufa.ru/product/225507/naushniki-vakuumnye-afkas-nova-af-302/" TargetMode="External"/><Relationship Id="rId_hyperlink_4486" Type="http://schemas.openxmlformats.org/officeDocument/2006/relationships/hyperlink" Target="https://optovikufa.ru/product/226579/naushniki-vakuumnye-afkas-nova-af-41/" TargetMode="External"/><Relationship Id="rId_hyperlink_4487" Type="http://schemas.openxmlformats.org/officeDocument/2006/relationships/hyperlink" Target="https://optovikufa.ru/product/226581/naushniki-vakuumnye-afkas-nova-af-46/" TargetMode="External"/><Relationship Id="rId_hyperlink_4488" Type="http://schemas.openxmlformats.org/officeDocument/2006/relationships/hyperlink" Target="https://optovikufa.ru/product/233668/naushniki-vakuumnye-afkas-nova-af-69/" TargetMode="External"/><Relationship Id="rId_hyperlink_4489" Type="http://schemas.openxmlformats.org/officeDocument/2006/relationships/hyperlink" Target="https://optovikufa.ru/product/242799/naushniki-vnutrikanalnye-hoco-m101-pro-crystal-mikrofon-knopka-otveta-kabel-12m-cvet-belyy/" TargetMode="External"/><Relationship Id="rId_hyperlink_4490" Type="http://schemas.openxmlformats.org/officeDocument/2006/relationships/hyperlink" Target="https://optovikufa.ru/product/242800/naushniki-vnutrikanalnye-hoco-m101-pro-crystal-mikrofon-knopka-otveta-kabel-12m-cvet-chernyy/" TargetMode="External"/><Relationship Id="rId_hyperlink_4491" Type="http://schemas.openxmlformats.org/officeDocument/2006/relationships/hyperlink" Target="https://optovikufa.ru/product/230510/garnitura-besprovodnaya-polnorazmernaya-hoco-w28-krasnyy/" TargetMode="External"/><Relationship Id="rId_hyperlink_4492" Type="http://schemas.openxmlformats.org/officeDocument/2006/relationships/hyperlink" Target="https://optovikufa.ru/product/147607/garnitura-polnorazmernaya-defender-aura-104-s-regulyat-gromk-chernaya/" TargetMode="External"/><Relationship Id="rId_hyperlink_4493" Type="http://schemas.openxmlformats.org/officeDocument/2006/relationships/hyperlink" Target="https://optovikufa.ru/product/145498/garnitura-polnorazmernaya-hama-cs-498-s-regulyat-gromk/" TargetMode="External"/><Relationship Id="rId_hyperlink_4494" Type="http://schemas.openxmlformats.org/officeDocument/2006/relationships/hyperlink" Target="https://optovikufa.ru/product/191450/garnitura-polnorazmernaya-smartbuy-sbh-7000-commando-reggromkosti-kabel-25-m/" TargetMode="External"/><Relationship Id="rId_hyperlink_4495" Type="http://schemas.openxmlformats.org/officeDocument/2006/relationships/hyperlink" Target="https://optovikufa.ru/product/239452/garnitura-igrovaya-polnorazmernaya-rush-aspid-cherno-zelenaya-sbhg-9760/" TargetMode="External"/><Relationship Id="rId_hyperlink_4496" Type="http://schemas.openxmlformats.org/officeDocument/2006/relationships/hyperlink" Target="https://optovikufa.ru/product/167229/garnitura-igrovaya-polnorazmernaya-rush-snake-cherno-zelenaya-sbhg-1200/" TargetMode="External"/><Relationship Id="rId_hyperlink_4497" Type="http://schemas.openxmlformats.org/officeDocument/2006/relationships/hyperlink" Target="https://optovikufa.ru/product/167232/garnitura-igrovaya-polnorazmernaya-rush-snake-cherno-sinyaya-sbhg-1000/" TargetMode="External"/><Relationship Id="rId_hyperlink_4498" Type="http://schemas.openxmlformats.org/officeDocument/2006/relationships/hyperlink" Target="https://optovikufa.ru/product/167233/garnitura-igrovaya-polnorazmernaya-rush-taipan-virtzvuk-71-cherno-zelenaya/" TargetMode="External"/><Relationship Id="rId_hyperlink_4499" Type="http://schemas.openxmlformats.org/officeDocument/2006/relationships/hyperlink" Target="https://optovikufa.ru/product/167235/garnitura-igrovaya-polnorazmernaya-rush-taipan-virtzvuk-71-cherno-sinyaya/" TargetMode="External"/><Relationship Id="rId_hyperlink_4500" Type="http://schemas.openxmlformats.org/officeDocument/2006/relationships/hyperlink" Target="https://optovikufa.ru/product/145874/garnitura-igrovaya-polnorazmernaya-rush-viper-cherno-zelenye-sbhg-2100/" TargetMode="External"/><Relationship Id="rId_hyperlink_4501" Type="http://schemas.openxmlformats.org/officeDocument/2006/relationships/hyperlink" Target="https://optovikufa.ru/product/145873/garnitura-igrovaya-polnorazmernaya-rush-viper-cherno-krasnye-sbhg-2200/" TargetMode="External"/><Relationship Id="rId_hyperlink_4502" Type="http://schemas.openxmlformats.org/officeDocument/2006/relationships/hyperlink" Target="https://optovikufa.ru/product/179306/garnitura-polnorazmernaya-defender-warhead-g-120-igrovye-2m-krasnyybelyy/" TargetMode="External"/><Relationship Id="rId_hyperlink_4503" Type="http://schemas.openxmlformats.org/officeDocument/2006/relationships/hyperlink" Target="https://optovikufa.ru/product/179307/garnitura-polnorazmernaya-defender-warhead-g-120-igrovyy-2m-chernyyoranzhevyy/" TargetMode="External"/><Relationship Id="rId_hyperlink_4504" Type="http://schemas.openxmlformats.org/officeDocument/2006/relationships/hyperlink" Target="https://optovikufa.ru/product/242356/kabel-dlya-naushnikov-s-mikrofonom-pozolochennye-kontakty-med-ofc-999/" TargetMode="External"/><Relationship Id="rId_hyperlink_4505" Type="http://schemas.openxmlformats.org/officeDocument/2006/relationships/hyperlink" Target="https://optovikufa.ru/product/242353/naushniki-dinamicheskie-armaturnye-kz-edc-kz-acoustics/" TargetMode="External"/><Relationship Id="rId_hyperlink_4506" Type="http://schemas.openxmlformats.org/officeDocument/2006/relationships/hyperlink" Target="https://optovikufa.ru/product/242352/naushniki-dinamicheskie-armaturnye-kz-edx-lite-kz-acoustics/" TargetMode="External"/><Relationship Id="rId_hyperlink_4507" Type="http://schemas.openxmlformats.org/officeDocument/2006/relationships/hyperlink" Target="https://optovikufa.ru/product/242354/naushniki-dinamicheskie-armaturnye-kz-edxs-kz-acoustics/" TargetMode="External"/><Relationship Id="rId_hyperlink_4508" Type="http://schemas.openxmlformats.org/officeDocument/2006/relationships/hyperlink" Target="https://optovikufa.ru/product/228750/naushniki-vakkumnye-stereo-dream-y2-bel/" TargetMode="External"/><Relationship Id="rId_hyperlink_4509" Type="http://schemas.openxmlformats.org/officeDocument/2006/relationships/hyperlink" Target="https://optovikufa.ru/product/222402/naushniki-vakkumnye-stereo-dream-y2-chernyy/" TargetMode="External"/><Relationship Id="rId_hyperlink_4510" Type="http://schemas.openxmlformats.org/officeDocument/2006/relationships/hyperlink" Target="https://optovikufa.ru/product/223285/naushniki-vakuum-dream-h10-chernyy/" TargetMode="External"/><Relationship Id="rId_hyperlink_4511" Type="http://schemas.openxmlformats.org/officeDocument/2006/relationships/hyperlink" Target="https://optovikufa.ru/product/228387/naushniki-vakuum-dream-s1-krasnyy/" TargetMode="External"/><Relationship Id="rId_hyperlink_4512" Type="http://schemas.openxmlformats.org/officeDocument/2006/relationships/hyperlink" Target="https://optovikufa.ru/product/228388/naushniki-vakuum-dream-s1-seryy/" TargetMode="External"/><Relationship Id="rId_hyperlink_4513" Type="http://schemas.openxmlformats.org/officeDocument/2006/relationships/hyperlink" Target="https://optovikufa.ru/product/228390/naushniki-vakuum-dream-s1-fioletovyy/" TargetMode="External"/><Relationship Id="rId_hyperlink_4514" Type="http://schemas.openxmlformats.org/officeDocument/2006/relationships/hyperlink" Target="https://optovikufa.ru/product/174559/naushniki-vakuum-smartbuy-color-trend-zelenye-sbe-3200/" TargetMode="External"/><Relationship Id="rId_hyperlink_4515" Type="http://schemas.openxmlformats.org/officeDocument/2006/relationships/hyperlink" Target="https://optovikufa.ru/product/132399/naushniki-vakuum-smartbuy-prime-zheltye-sbe-160/" TargetMode="External"/><Relationship Id="rId_hyperlink_4516" Type="http://schemas.openxmlformats.org/officeDocument/2006/relationships/hyperlink" Target="https://optovikufa.ru/product/132403/naushniki-vakuum-smartbuy-prime-zelenye-sbe-155/" TargetMode="External"/><Relationship Id="rId_hyperlink_4517" Type="http://schemas.openxmlformats.org/officeDocument/2006/relationships/hyperlink" Target="https://optovikufa.ru/product/147499/naushniki-vakuum-a62-krasnye-plosk-kabel/" TargetMode="External"/><Relationship Id="rId_hyperlink_4518" Type="http://schemas.openxmlformats.org/officeDocument/2006/relationships/hyperlink" Target="https://optovikufa.ru/product/234848/naushniki-vakuumnye-afkas-nova-af-55/" TargetMode="External"/><Relationship Id="rId_hyperlink_4519" Type="http://schemas.openxmlformats.org/officeDocument/2006/relationships/hyperlink" Target="https://optovikufa.ru/product/239471/naushniki-vakuumnye-smartbuy-a5-chernyy-korobka-sbe-201k/" TargetMode="External"/><Relationship Id="rId_hyperlink_4520" Type="http://schemas.openxmlformats.org/officeDocument/2006/relationships/hyperlink" Target="https://optovikufa.ru/product/234823/naushniki-vakuumnye-stereo-z01-tkanevaya-opletka/" TargetMode="External"/><Relationship Id="rId_hyperlink_4521" Type="http://schemas.openxmlformats.org/officeDocument/2006/relationships/hyperlink" Target="https://optovikufa.ru/product/234816/naushniki-vakuumnye-super-bass-x01/" TargetMode="External"/><Relationship Id="rId_hyperlink_4522" Type="http://schemas.openxmlformats.org/officeDocument/2006/relationships/hyperlink" Target="https://optovikufa.ru/product/234818/naushniki-vakuumnye-super-bass-x03/" TargetMode="External"/><Relationship Id="rId_hyperlink_4523" Type="http://schemas.openxmlformats.org/officeDocument/2006/relationships/hyperlink" Target="https://optovikufa.ru/product/124882/naushniki-vakuumnye-stereo-mb-chernye-tehpak/" TargetMode="External"/><Relationship Id="rId_hyperlink_4524" Type="http://schemas.openxmlformats.org/officeDocument/2006/relationships/hyperlink" Target="https://optovikufa.ru/product/167237/naushniki-polnorazmernye-smartbuy-kids-detskie-s-ogranichitelem-gromk-sinie/" TargetMode="External"/><Relationship Id="rId_hyperlink_4525" Type="http://schemas.openxmlformats.org/officeDocument/2006/relationships/hyperlink" Target="https://optovikufa.ru/product/241514/usb-flesh-disk-exployd-16gb-640-belyy/" TargetMode="External"/><Relationship Id="rId_hyperlink_4526" Type="http://schemas.openxmlformats.org/officeDocument/2006/relationships/hyperlink" Target="https://optovikufa.ru/product/241517/usb-flesh-disk-exployd-32gb-640-belyy/" TargetMode="External"/><Relationship Id="rId_hyperlink_4527" Type="http://schemas.openxmlformats.org/officeDocument/2006/relationships/hyperlink" Target="https://optovikufa.ru/product/241518/usb-flesh-disk-exployd-32gb-640-chernyy/" TargetMode="External"/><Relationship Id="rId_hyperlink_4528" Type="http://schemas.openxmlformats.org/officeDocument/2006/relationships/hyperlink" Target="https://optovikufa.ru/product/241521/usb-flesh-disk-exployd-64gb-640-belyy/" TargetMode="External"/><Relationship Id="rId_hyperlink_4529" Type="http://schemas.openxmlformats.org/officeDocument/2006/relationships/hyperlink" Target="https://optovikufa.ru/product/240532/usb-flesh-disk-netac-128gb-u116-mini-white/" TargetMode="External"/><Relationship Id="rId_hyperlink_4530" Type="http://schemas.openxmlformats.org/officeDocument/2006/relationships/hyperlink" Target="https://optovikufa.ru/product/234525/usb-flesh-disk-netac-32gb-u326-silver/" TargetMode="External"/><Relationship Id="rId_hyperlink_4531" Type="http://schemas.openxmlformats.org/officeDocument/2006/relationships/hyperlink" Target="https://optovikufa.ru/product/234528/usb-flesh-disk-netac-64gb-u116-mini-white/" TargetMode="External"/><Relationship Id="rId_hyperlink_4532" Type="http://schemas.openxmlformats.org/officeDocument/2006/relationships/hyperlink" Target="https://optovikufa.ru/product/234530/usb-flesh-disk-netac-64gb-u278-blacksilver/" TargetMode="External"/><Relationship Id="rId_hyperlink_4533" Type="http://schemas.openxmlformats.org/officeDocument/2006/relationships/hyperlink" Target="https://optovikufa.ru/product/234534/usb-flesh-disk-netac-64gb-um81-black-metal/" TargetMode="External"/><Relationship Id="rId_hyperlink_4534" Type="http://schemas.openxmlformats.org/officeDocument/2006/relationships/hyperlink" Target="https://optovikufa.ru/product/241516/usb-flesh-disk-oltramax-16gb-500-smart-otg-usb-drive-grafit/" TargetMode="External"/><Relationship Id="rId_hyperlink_4535" Type="http://schemas.openxmlformats.org/officeDocument/2006/relationships/hyperlink" Target="https://optovikufa.ru/product/148866/usb-flesh-disk-oltramax-32gb-70-white/" TargetMode="External"/><Relationship Id="rId_hyperlink_4536" Type="http://schemas.openxmlformats.org/officeDocument/2006/relationships/hyperlink" Target="https://optovikufa.ru/product/241519/usb-flesh-disk-oltramax-32gb-330-belyy/" TargetMode="External"/><Relationship Id="rId_hyperlink_4537" Type="http://schemas.openxmlformats.org/officeDocument/2006/relationships/hyperlink" Target="https://optovikufa.ru/product/241520/usb-flesh-disk-oltramax-32gb-330-krasnyy/" TargetMode="External"/><Relationship Id="rId_hyperlink_4538" Type="http://schemas.openxmlformats.org/officeDocument/2006/relationships/hyperlink" Target="https://optovikufa.ru/product/241510/usb-flesh-disk-oltramax-4gb-330-krasnyy/" TargetMode="External"/><Relationship Id="rId_hyperlink_4539" Type="http://schemas.openxmlformats.org/officeDocument/2006/relationships/hyperlink" Target="https://optovikufa.ru/product/240531/usb-flesh-disk-oltramax-64gb-70-white/" TargetMode="External"/><Relationship Id="rId_hyperlink_4540" Type="http://schemas.openxmlformats.org/officeDocument/2006/relationships/hyperlink" Target="https://optovikufa.ru/product/241512/usb-flesh-disk-oltramax-8gb-330-krasnyy/" TargetMode="External"/><Relationship Id="rId_hyperlink_4541" Type="http://schemas.openxmlformats.org/officeDocument/2006/relationships/hyperlink" Target="https://optovikufa.ru/product/241513/usb-flesh-disk-oltramax-8gb-500-smart-otg-usb-drive-seryy/" TargetMode="External"/><Relationship Id="rId_hyperlink_4542" Type="http://schemas.openxmlformats.org/officeDocument/2006/relationships/hyperlink" Target="https://optovikufa.ru/product/145195/usb-flesh-disk-sandisk-30-16gb-ultra-flair/" TargetMode="External"/><Relationship Id="rId_hyperlink_4543" Type="http://schemas.openxmlformats.org/officeDocument/2006/relationships/hyperlink" Target="https://optovikufa.ru/product/240962/usb-flesh-disk-sandisk-31-16gb-ultra-fit/" TargetMode="External"/><Relationship Id="rId_hyperlink_4544" Type="http://schemas.openxmlformats.org/officeDocument/2006/relationships/hyperlink" Target="https://optovikufa.ru/product/240963/usb-flesh-disk-sandisk-32-32gb-ultra-curve-zelenyy/" TargetMode="External"/><Relationship Id="rId_hyperlink_4545" Type="http://schemas.openxmlformats.org/officeDocument/2006/relationships/hyperlink" Target="https://optovikufa.ru/product/240964/usb-flesh-disk-sandisk-32-32gb-ultra-curve-siniy/" TargetMode="External"/><Relationship Id="rId_hyperlink_4546" Type="http://schemas.openxmlformats.org/officeDocument/2006/relationships/hyperlink" Target="https://optovikufa.ru/product/217521/usb-flesh-disk-smartbuy-128gb-30-glossy-dark-blue/" TargetMode="External"/><Relationship Id="rId_hyperlink_4547" Type="http://schemas.openxmlformats.org/officeDocument/2006/relationships/hyperlink" Target="https://optovikufa.ru/product/239055/usb-flesh-disk-smartbuy-128gb-30-m1-metal-apricot/" TargetMode="External"/><Relationship Id="rId_hyperlink_4548" Type="http://schemas.openxmlformats.org/officeDocument/2006/relationships/hyperlink" Target="https://optovikufa.ru/product/240424/usb-flesh-disk-smartbuy-128gb-30-scout-black/" TargetMode="External"/><Relationship Id="rId_hyperlink_4549" Type="http://schemas.openxmlformats.org/officeDocument/2006/relationships/hyperlink" Target="https://optovikufa.ru/product/240423/usb-flesh-disk-smartbuy-128gb-30-scout-white/" TargetMode="External"/><Relationship Id="rId_hyperlink_4550" Type="http://schemas.openxmlformats.org/officeDocument/2006/relationships/hyperlink" Target="https://optovikufa.ru/product/239059/usb-flesh-disk-smartbuy-128gb-30-twist-red/" TargetMode="External"/><Relationship Id="rId_hyperlink_4551" Type="http://schemas.openxmlformats.org/officeDocument/2006/relationships/hyperlink" Target="https://optovikufa.ru/product/234249/usb-flesh-disk-smartbuy-128gb-3031-clue-black/" TargetMode="External"/><Relationship Id="rId_hyperlink_4552" Type="http://schemas.openxmlformats.org/officeDocument/2006/relationships/hyperlink" Target="https://optovikufa.ru/product/234250/usb-flesh-disk-smartbuy-128gb-3031-clue-white/" TargetMode="External"/><Relationship Id="rId_hyperlink_4553" Type="http://schemas.openxmlformats.org/officeDocument/2006/relationships/hyperlink" Target="https://optovikufa.ru/product/221559/usb-flesh-disk-smartbuy-128gb-3031-diamond-blue/" TargetMode="External"/><Relationship Id="rId_hyperlink_4554" Type="http://schemas.openxmlformats.org/officeDocument/2006/relationships/hyperlink" Target="https://optovikufa.ru/product/226094/usb-flesh-disk-smartbuy-128gb-3031-dock-black/" TargetMode="External"/><Relationship Id="rId_hyperlink_4555" Type="http://schemas.openxmlformats.org/officeDocument/2006/relationships/hyperlink" Target="https://optovikufa.ru/product/220580/usb-flesh-disk-smartbuy-128gb-3031-glossy-dark-grey/" TargetMode="External"/><Relationship Id="rId_hyperlink_4556" Type="http://schemas.openxmlformats.org/officeDocument/2006/relationships/hyperlink" Target="https://optovikufa.ru/product/218846/usb-flesh-disk-smartbuy-128gb-3031-v-cut-black/" TargetMode="External"/><Relationship Id="rId_hyperlink_4557" Type="http://schemas.openxmlformats.org/officeDocument/2006/relationships/hyperlink" Target="https://optovikufa.ru/product/226368/usb-flesh-disk-smartbuy-128gb-3031-v-cut-blue/" TargetMode="External"/><Relationship Id="rId_hyperlink_4558" Type="http://schemas.openxmlformats.org/officeDocument/2006/relationships/hyperlink" Target="https://optovikufa.ru/product/241076/usb-flesh-disk-smartbuy-16gb-30-iron-2-metalblack/" TargetMode="External"/><Relationship Id="rId_hyperlink_4559" Type="http://schemas.openxmlformats.org/officeDocument/2006/relationships/hyperlink" Target="https://optovikufa.ru/product/140534/usb-flesh-disk-smartbuy-16gb-30-fashion-black/" TargetMode="External"/><Relationship Id="rId_hyperlink_4560" Type="http://schemas.openxmlformats.org/officeDocument/2006/relationships/hyperlink" Target="https://optovikufa.ru/product/241077/usb-flesh-disk-smartbuy-16gb-30-scout-black/" TargetMode="External"/><Relationship Id="rId_hyperlink_4561" Type="http://schemas.openxmlformats.org/officeDocument/2006/relationships/hyperlink" Target="https://optovikufa.ru/product/241078/usb-flesh-disk-smartbuy-16gb-30-scout-white/" TargetMode="External"/><Relationship Id="rId_hyperlink_4562" Type="http://schemas.openxmlformats.org/officeDocument/2006/relationships/hyperlink" Target="https://optovikufa.ru/product/241075/usb-flesh-disk-smartbuy-16gb-30-twist-red/" TargetMode="External"/><Relationship Id="rId_hyperlink_4563" Type="http://schemas.openxmlformats.org/officeDocument/2006/relationships/hyperlink" Target="https://optovikufa.ru/product/153479/usb-flesh-disk-smartbuy-16gb-click-black/" TargetMode="External"/><Relationship Id="rId_hyperlink_4564" Type="http://schemas.openxmlformats.org/officeDocument/2006/relationships/hyperlink" Target="https://optovikufa.ru/product/233522/usb-flesh-disk-smartbuy-16gb-clue-blue/" TargetMode="External"/><Relationship Id="rId_hyperlink_4565" Type="http://schemas.openxmlformats.org/officeDocument/2006/relationships/hyperlink" Target="https://optovikufa.ru/product/233520/usb-flesh-disk-smartbuy-16gb-clue-burgundy/" TargetMode="External"/><Relationship Id="rId_hyperlink_4566" Type="http://schemas.openxmlformats.org/officeDocument/2006/relationships/hyperlink" Target="https://optovikufa.ru/product/233521/usb-flesh-disk-smartbuy-16gb-clue-red/" TargetMode="External"/><Relationship Id="rId_hyperlink_4567" Type="http://schemas.openxmlformats.org/officeDocument/2006/relationships/hyperlink" Target="https://optovikufa.ru/product/233519/usb-flesh-disk-smartbuy-16gb-clue-white/" TargetMode="External"/><Relationship Id="rId_hyperlink_4568" Type="http://schemas.openxmlformats.org/officeDocument/2006/relationships/hyperlink" Target="https://optovikufa.ru/product/231899/usb-flesh-disk-smartbuy-16gb-clue-yellow/" TargetMode="External"/><Relationship Id="rId_hyperlink_4569" Type="http://schemas.openxmlformats.org/officeDocument/2006/relationships/hyperlink" Target="https://optovikufa.ru/product/153489/usb-flesh-disk-smartbuy-16gb-crown-black/" TargetMode="External"/><Relationship Id="rId_hyperlink_4570" Type="http://schemas.openxmlformats.org/officeDocument/2006/relationships/hyperlink" Target="https://optovikufa.ru/product/153481/usb-flesh-disk-smartbuy-16gb-crown-white/" TargetMode="External"/><Relationship Id="rId_hyperlink_4571" Type="http://schemas.openxmlformats.org/officeDocument/2006/relationships/hyperlink" Target="https://optovikufa.ru/product/220968/usb-flesh-disk-smartbuy-16gb-diamond-pink/" TargetMode="External"/><Relationship Id="rId_hyperlink_4572" Type="http://schemas.openxmlformats.org/officeDocument/2006/relationships/hyperlink" Target="https://optovikufa.ru/product/123259/usb-flesh-disk-smartbuy-16gb-dock-blue/" TargetMode="External"/><Relationship Id="rId_hyperlink_4573" Type="http://schemas.openxmlformats.org/officeDocument/2006/relationships/hyperlink" Target="https://optovikufa.ru/product/136176/usb-flesh-disk-smartbuy-16gb-dock-red/" TargetMode="External"/><Relationship Id="rId_hyperlink_4574" Type="http://schemas.openxmlformats.org/officeDocument/2006/relationships/hyperlink" Target="https://optovikufa.ru/product/137460/usb-flesh-disk-smartbuy-16gb-glossy-series-black/" TargetMode="External"/><Relationship Id="rId_hyperlink_4575" Type="http://schemas.openxmlformats.org/officeDocument/2006/relationships/hyperlink" Target="https://optovikufa.ru/product/139459/usb-flesh-disk-smartbuy-16gb-glossy-series-blue/" TargetMode="External"/><Relationship Id="rId_hyperlink_4576" Type="http://schemas.openxmlformats.org/officeDocument/2006/relationships/hyperlink" Target="https://optovikufa.ru/product/178472/usb-flesh-disk-smartbuy-16gb-glossy-series-orange/" TargetMode="External"/><Relationship Id="rId_hyperlink_4577" Type="http://schemas.openxmlformats.org/officeDocument/2006/relationships/hyperlink" Target="https://optovikufa.ru/product/137589/usb-flesh-disk-smartbuy-16gb-lara-black/" TargetMode="External"/><Relationship Id="rId_hyperlink_4578" Type="http://schemas.openxmlformats.org/officeDocument/2006/relationships/hyperlink" Target="https://optovikufa.ru/product/137591/usb-flesh-disk-smartbuy-16gb-lara-blue/" TargetMode="External"/><Relationship Id="rId_hyperlink_4579" Type="http://schemas.openxmlformats.org/officeDocument/2006/relationships/hyperlink" Target="https://optovikufa.ru/product/125711/usb-flesh-disk-smartbuy-16gb-lara-red/" TargetMode="External"/><Relationship Id="rId_hyperlink_4580" Type="http://schemas.openxmlformats.org/officeDocument/2006/relationships/hyperlink" Target="https://optovikufa.ru/product/137590/usb-flesh-disk-smartbuy-16gb-lara-white/" TargetMode="External"/><Relationship Id="rId_hyperlink_4581" Type="http://schemas.openxmlformats.org/officeDocument/2006/relationships/hyperlink" Target="https://optovikufa.ru/product/142266/usb-flesh-disk-smartbuy-16gb-quartz-series-black/" TargetMode="External"/><Relationship Id="rId_hyperlink_4582" Type="http://schemas.openxmlformats.org/officeDocument/2006/relationships/hyperlink" Target="https://optovikufa.ru/product/191554/usb-flesh-disk-smartbuy-16gb-quartz-series-violet/" TargetMode="External"/><Relationship Id="rId_hyperlink_4583" Type="http://schemas.openxmlformats.org/officeDocument/2006/relationships/hyperlink" Target="https://optovikufa.ru/product/236739/usb-flesh-disk-smartbuy-16gb-scout-black/" TargetMode="External"/><Relationship Id="rId_hyperlink_4584" Type="http://schemas.openxmlformats.org/officeDocument/2006/relationships/hyperlink" Target="https://optovikufa.ru/product/235725/usb-flesh-disk-smartbuy-16gb-scout-blue/" TargetMode="External"/><Relationship Id="rId_hyperlink_4585" Type="http://schemas.openxmlformats.org/officeDocument/2006/relationships/hyperlink" Target="https://optovikufa.ru/product/235726/usb-flesh-disk-smartbuy-16gb-scout-red/" TargetMode="External"/><Relationship Id="rId_hyperlink_4586" Type="http://schemas.openxmlformats.org/officeDocument/2006/relationships/hyperlink" Target="https://optovikufa.ru/product/236740/usb-flesh-disk-smartbuy-16gb-scout-white/" TargetMode="External"/><Relationship Id="rId_hyperlink_4587" Type="http://schemas.openxmlformats.org/officeDocument/2006/relationships/hyperlink" Target="https://optovikufa.ru/product/167696/usb-flesh-disk-smartbuy-16gb-stream-blue/" TargetMode="External"/><Relationship Id="rId_hyperlink_4588" Type="http://schemas.openxmlformats.org/officeDocument/2006/relationships/hyperlink" Target="https://optovikufa.ru/product/167697/usb-flesh-disk-smartbuy-16gb-stream-yellow/" TargetMode="External"/><Relationship Id="rId_hyperlink_4589" Type="http://schemas.openxmlformats.org/officeDocument/2006/relationships/hyperlink" Target="https://optovikufa.ru/product/235727/usb-flesh-disk-smartbuy-16gb-twist-black/" TargetMode="External"/><Relationship Id="rId_hyperlink_4590" Type="http://schemas.openxmlformats.org/officeDocument/2006/relationships/hyperlink" Target="https://optovikufa.ru/product/235728/usb-flesh-disk-smartbuy-16gb-twist-blue/" TargetMode="External"/><Relationship Id="rId_hyperlink_4591" Type="http://schemas.openxmlformats.org/officeDocument/2006/relationships/hyperlink" Target="https://optovikufa.ru/product/235729/usb-flesh-disk-smartbuy-16gb-twist-pink/" TargetMode="External"/><Relationship Id="rId_hyperlink_4592" Type="http://schemas.openxmlformats.org/officeDocument/2006/relationships/hyperlink" Target="https://optovikufa.ru/product/235730/usb-flesh-disk-smartbuy-16gb-twist-yellow/" TargetMode="External"/><Relationship Id="rId_hyperlink_4593" Type="http://schemas.openxmlformats.org/officeDocument/2006/relationships/hyperlink" Target="https://optovikufa.ru/product/130364/usb-flesh-disk-smartbuy-16gb-v-cut-black/" TargetMode="External"/><Relationship Id="rId_hyperlink_4594" Type="http://schemas.openxmlformats.org/officeDocument/2006/relationships/hyperlink" Target="https://optovikufa.ru/product/130365/usb-flesh-disk-smartbuy-16gb-v-cut-blue/" TargetMode="External"/><Relationship Id="rId_hyperlink_4595" Type="http://schemas.openxmlformats.org/officeDocument/2006/relationships/hyperlink" Target="https://optovikufa.ru/product/176480/usb-flesh-disk-smartbuy-16gb-v-cut-silver/" TargetMode="External"/><Relationship Id="rId_hyperlink_4596" Type="http://schemas.openxmlformats.org/officeDocument/2006/relationships/hyperlink" Target="https://optovikufa.ru/product/226703/usb-flesh-disk-smartbuy-256gb-30-crown-blue/" TargetMode="External"/><Relationship Id="rId_hyperlink_4597" Type="http://schemas.openxmlformats.org/officeDocument/2006/relationships/hyperlink" Target="https://optovikufa.ru/product/241089/usb-flesh-disk-smartbuy-256gb-30-scout-black/" TargetMode="External"/><Relationship Id="rId_hyperlink_4598" Type="http://schemas.openxmlformats.org/officeDocument/2006/relationships/hyperlink" Target="https://optovikufa.ru/product/241090/usb-flesh-disk-smartbuy-256gb-30-scout-whit/" TargetMode="External"/><Relationship Id="rId_hyperlink_4599" Type="http://schemas.openxmlformats.org/officeDocument/2006/relationships/hyperlink" Target="https://optovikufa.ru/product/238863/usb-flesh-disk-smartbuy-256gb-30-twist-dual-type-ctype-a/" TargetMode="External"/><Relationship Id="rId_hyperlink_4600" Type="http://schemas.openxmlformats.org/officeDocument/2006/relationships/hyperlink" Target="https://optovikufa.ru/product/220541/usb-flesh-disk-smartbuy-256gb-30-v-cut-silver/" TargetMode="External"/><Relationship Id="rId_hyperlink_4601" Type="http://schemas.openxmlformats.org/officeDocument/2006/relationships/hyperlink" Target="https://optovikufa.ru/product/235972/usb-flesh-disk-smartbuy-256gb-twist-red/" TargetMode="External"/><Relationship Id="rId_hyperlink_4602" Type="http://schemas.openxmlformats.org/officeDocument/2006/relationships/hyperlink" Target="https://optovikufa.ru/product/240687/usb-flesh-disk-smartbuy-32gb-30-m1-metal-apricot/" TargetMode="External"/><Relationship Id="rId_hyperlink_4603" Type="http://schemas.openxmlformats.org/officeDocument/2006/relationships/hyperlink" Target="https://optovikufa.ru/product/221072/usb-flesh-disk-smartbuy-32gb-art-black/" TargetMode="External"/><Relationship Id="rId_hyperlink_4604" Type="http://schemas.openxmlformats.org/officeDocument/2006/relationships/hyperlink" Target="https://optovikufa.ru/product/148361/usb-flesh-disk-smartbuy-32gb-click-blue/" TargetMode="External"/><Relationship Id="rId_hyperlink_4605" Type="http://schemas.openxmlformats.org/officeDocument/2006/relationships/hyperlink" Target="https://optovikufa.ru/product/234410/usb-flesh-disk-smartbuy-32gb-clue-black/" TargetMode="External"/><Relationship Id="rId_hyperlink_4606" Type="http://schemas.openxmlformats.org/officeDocument/2006/relationships/hyperlink" Target="https://optovikufa.ru/product/233528/usb-flesh-disk-smartbuy-32gb-clue-blue/" TargetMode="External"/><Relationship Id="rId_hyperlink_4607" Type="http://schemas.openxmlformats.org/officeDocument/2006/relationships/hyperlink" Target="https://optovikufa.ru/product/233525/usb-flesh-disk-smartbuy-32gb-clue-burgundy/" TargetMode="External"/><Relationship Id="rId_hyperlink_4608" Type="http://schemas.openxmlformats.org/officeDocument/2006/relationships/hyperlink" Target="https://optovikufa.ru/product/233527/usb-flesh-disk-smartbuy-32gb-clue-red/" TargetMode="External"/><Relationship Id="rId_hyperlink_4609" Type="http://schemas.openxmlformats.org/officeDocument/2006/relationships/hyperlink" Target="https://optovikufa.ru/product/233524/usb-flesh-disk-smartbuy-32gb-clue-white/" TargetMode="External"/><Relationship Id="rId_hyperlink_4610" Type="http://schemas.openxmlformats.org/officeDocument/2006/relationships/hyperlink" Target="https://optovikufa.ru/product/233526/usb-flesh-disk-smartbuy-32gb-clue-yellow/" TargetMode="External"/><Relationship Id="rId_hyperlink_4611" Type="http://schemas.openxmlformats.org/officeDocument/2006/relationships/hyperlink" Target="https://optovikufa.ru/product/153485/usb-flesh-disk-smartbuy-32gb-crown-black/" TargetMode="External"/><Relationship Id="rId_hyperlink_4612" Type="http://schemas.openxmlformats.org/officeDocument/2006/relationships/hyperlink" Target="https://optovikufa.ru/product/153512/usb-flesh-disk-smartbuy-32gb-crown-white/" TargetMode="External"/><Relationship Id="rId_hyperlink_4613" Type="http://schemas.openxmlformats.org/officeDocument/2006/relationships/hyperlink" Target="https://optovikufa.ru/product/149539/usb-flesh-disk-smartbuy-32gb-dock-blue/" TargetMode="External"/><Relationship Id="rId_hyperlink_4614" Type="http://schemas.openxmlformats.org/officeDocument/2006/relationships/hyperlink" Target="https://optovikufa.ru/product/149540/usb-flesh-disk-smartbuy-32gb-dock-red/" TargetMode="External"/><Relationship Id="rId_hyperlink_4615" Type="http://schemas.openxmlformats.org/officeDocument/2006/relationships/hyperlink" Target="https://optovikufa.ru/product/176481/usb-flesh-disk-smartbuy-32gb-glossy-series-black/" TargetMode="External"/><Relationship Id="rId_hyperlink_4616" Type="http://schemas.openxmlformats.org/officeDocument/2006/relationships/hyperlink" Target="https://optovikufa.ru/product/176482/usb-flesh-disk-smartbuy-32gb-glossy-series-blue/" TargetMode="External"/><Relationship Id="rId_hyperlink_4617" Type="http://schemas.openxmlformats.org/officeDocument/2006/relationships/hyperlink" Target="https://optovikufa.ru/product/176483/usb-flesh-disk-smartbuy-32gb-glossy-series-green/" TargetMode="External"/><Relationship Id="rId_hyperlink_4618" Type="http://schemas.openxmlformats.org/officeDocument/2006/relationships/hyperlink" Target="https://optovikufa.ru/product/178609/usb-flesh-disk-smartbuy-32gb-glossy-series-orange/" TargetMode="External"/><Relationship Id="rId_hyperlink_4619" Type="http://schemas.openxmlformats.org/officeDocument/2006/relationships/hyperlink" Target="https://optovikufa.ru/product/147804/usb-flesh-disk-smartbuy-32gb-lara-black/" TargetMode="External"/><Relationship Id="rId_hyperlink_4620" Type="http://schemas.openxmlformats.org/officeDocument/2006/relationships/hyperlink" Target="https://optovikufa.ru/product/147716/usb-flesh-disk-smartbuy-32gb-lara-blue/" TargetMode="External"/><Relationship Id="rId_hyperlink_4621" Type="http://schemas.openxmlformats.org/officeDocument/2006/relationships/hyperlink" Target="https://optovikufa.ru/product/125712/usb-flesh-disk-smartbuy-32gb-lara-red/" TargetMode="External"/><Relationship Id="rId_hyperlink_4622" Type="http://schemas.openxmlformats.org/officeDocument/2006/relationships/hyperlink" Target="https://optovikufa.ru/product/147715/usb-flesh-disk-smartbuy-32gb-lara-white/" TargetMode="External"/><Relationship Id="rId_hyperlink_4623" Type="http://schemas.openxmlformats.org/officeDocument/2006/relationships/hyperlink" Target="https://optovikufa.ru/product/240413/usb-flesh-disk-smartbuy-32gb-mc2-metal-blue/" TargetMode="External"/><Relationship Id="rId_hyperlink_4624" Type="http://schemas.openxmlformats.org/officeDocument/2006/relationships/hyperlink" Target="https://optovikufa.ru/product/240414/usb-flesh-disk-smartbuy-32gb-mc5-metal-kitty-pink/" TargetMode="External"/><Relationship Id="rId_hyperlink_4625" Type="http://schemas.openxmlformats.org/officeDocument/2006/relationships/hyperlink" Target="https://optovikufa.ru/product/127518/usb-flesh-disk-smartbuy-32gb-otg-poko-series-black/" TargetMode="External"/><Relationship Id="rId_hyperlink_4626" Type="http://schemas.openxmlformats.org/officeDocument/2006/relationships/hyperlink" Target="https://optovikufa.ru/product/154865/usb-flesh-disk-smartbuy-32gb-paean-white/" TargetMode="External"/><Relationship Id="rId_hyperlink_4627" Type="http://schemas.openxmlformats.org/officeDocument/2006/relationships/hyperlink" Target="https://optovikufa.ru/product/191552/usb-flesh-disk-smartbuy-32gb-quartz-series-black/" TargetMode="External"/><Relationship Id="rId_hyperlink_4628" Type="http://schemas.openxmlformats.org/officeDocument/2006/relationships/hyperlink" Target="https://optovikufa.ru/product/235731/usb-flesh-disk-smartbuy-32gb-scout-black/" TargetMode="External"/><Relationship Id="rId_hyperlink_4629" Type="http://schemas.openxmlformats.org/officeDocument/2006/relationships/hyperlink" Target="https://optovikufa.ru/product/235732/usb-flesh-disk-smartbuy-32gb-scout-blue/" TargetMode="External"/><Relationship Id="rId_hyperlink_4630" Type="http://schemas.openxmlformats.org/officeDocument/2006/relationships/hyperlink" Target="https://optovikufa.ru/product/235733/usb-flesh-disk-smartbuy-32gb-scout-red/" TargetMode="External"/><Relationship Id="rId_hyperlink_4631" Type="http://schemas.openxmlformats.org/officeDocument/2006/relationships/hyperlink" Target="https://optovikufa.ru/product/167705/usb-flesh-disk-smartbuy-32gb-stream-blue/" TargetMode="External"/><Relationship Id="rId_hyperlink_4632" Type="http://schemas.openxmlformats.org/officeDocument/2006/relationships/hyperlink" Target="https://optovikufa.ru/product/167706/usb-flesh-disk-smartbuy-32gb-stream-yellow/" TargetMode="External"/><Relationship Id="rId_hyperlink_4633" Type="http://schemas.openxmlformats.org/officeDocument/2006/relationships/hyperlink" Target="https://optovikufa.ru/product/235735/usb-flesh-disk-smartbuy-32gb-twist-black/" TargetMode="External"/><Relationship Id="rId_hyperlink_4634" Type="http://schemas.openxmlformats.org/officeDocument/2006/relationships/hyperlink" Target="https://optovikufa.ru/product/235736/usb-flesh-disk-smartbuy-32gb-twist-blue/" TargetMode="External"/><Relationship Id="rId_hyperlink_4635" Type="http://schemas.openxmlformats.org/officeDocument/2006/relationships/hyperlink" Target="https://optovikufa.ru/product/235737/usb-flesh-disk-smartbuy-32gb-twist-pink/" TargetMode="External"/><Relationship Id="rId_hyperlink_4636" Type="http://schemas.openxmlformats.org/officeDocument/2006/relationships/hyperlink" Target="https://optovikufa.ru/product/235738/usb-flesh-disk-smartbuy-32gb-twist-yellow/" TargetMode="External"/><Relationship Id="rId_hyperlink_4637" Type="http://schemas.openxmlformats.org/officeDocument/2006/relationships/hyperlink" Target="https://optovikufa.ru/product/176486/usb-flesh-disk-smartbuy-32gb-v-cut-black/" TargetMode="External"/><Relationship Id="rId_hyperlink_4638" Type="http://schemas.openxmlformats.org/officeDocument/2006/relationships/hyperlink" Target="https://optovikufa.ru/product/176487/usb-flesh-disk-smartbuy-32gb-v-cut-blue/" TargetMode="External"/><Relationship Id="rId_hyperlink_4639" Type="http://schemas.openxmlformats.org/officeDocument/2006/relationships/hyperlink" Target="https://optovikufa.ru/product/176488/usb-flesh-disk-smartbuy-32gb-v-cut-silver/" TargetMode="External"/><Relationship Id="rId_hyperlink_4640" Type="http://schemas.openxmlformats.org/officeDocument/2006/relationships/hyperlink" Target="https://optovikufa.ru/product/233518/usb-flesh-disk-smartbuy-4gb-clue-black/" TargetMode="External"/><Relationship Id="rId_hyperlink_4641" Type="http://schemas.openxmlformats.org/officeDocument/2006/relationships/hyperlink" Target="https://optovikufa.ru/product/233517/usb-flesh-disk-smartbuy-4gb-clue-blue/" TargetMode="External"/><Relationship Id="rId_hyperlink_4642" Type="http://schemas.openxmlformats.org/officeDocument/2006/relationships/hyperlink" Target="https://optovikufa.ru/product/233832/usb-flesh-disk-smartbuy-4gb-clue-burgundy/" TargetMode="External"/><Relationship Id="rId_hyperlink_4643" Type="http://schemas.openxmlformats.org/officeDocument/2006/relationships/hyperlink" Target="https://optovikufa.ru/product/231893/usb-flesh-disk-smartbuy-4gb-clue-red/" TargetMode="External"/><Relationship Id="rId_hyperlink_4644" Type="http://schemas.openxmlformats.org/officeDocument/2006/relationships/hyperlink" Target="https://optovikufa.ru/product/231890/usb-flesh-disk-smartbuy-4gb-clue-white/" TargetMode="External"/><Relationship Id="rId_hyperlink_4645" Type="http://schemas.openxmlformats.org/officeDocument/2006/relationships/hyperlink" Target="https://optovikufa.ru/product/231892/usb-flesh-disk-smartbuy-4gb-clue-yellow/" TargetMode="External"/><Relationship Id="rId_hyperlink_4646" Type="http://schemas.openxmlformats.org/officeDocument/2006/relationships/hyperlink" Target="https://optovikufa.ru/product/153488/usb-flesh-disk-smartbuy-4gb-crown-belyy/" TargetMode="External"/><Relationship Id="rId_hyperlink_4647" Type="http://schemas.openxmlformats.org/officeDocument/2006/relationships/hyperlink" Target="https://optovikufa.ru/product/153487/usb-flesh-disk-smartbuy-4gb-crown-chernyy/" TargetMode="External"/><Relationship Id="rId_hyperlink_4648" Type="http://schemas.openxmlformats.org/officeDocument/2006/relationships/hyperlink" Target="https://optovikufa.ru/product/217980/usb-flesh-disk-smartbuy-4gb-diamond-pink/" TargetMode="External"/><Relationship Id="rId_hyperlink_4649" Type="http://schemas.openxmlformats.org/officeDocument/2006/relationships/hyperlink" Target="https://optovikufa.ru/product/137449/usb-flesh-disk-smartbuy-4gb-glossy-series-blue/" TargetMode="External"/><Relationship Id="rId_hyperlink_4650" Type="http://schemas.openxmlformats.org/officeDocument/2006/relationships/hyperlink" Target="https://optovikufa.ru/product/137450/usb-flesh-disk-smartbuy-4gb-glossy-series-green/" TargetMode="External"/><Relationship Id="rId_hyperlink_4651" Type="http://schemas.openxmlformats.org/officeDocument/2006/relationships/hyperlink" Target="https://optovikufa.ru/product/180434/usb-flesh-disk-smartbuy-4gb-glossy-series-orange/" TargetMode="External"/><Relationship Id="rId_hyperlink_4652" Type="http://schemas.openxmlformats.org/officeDocument/2006/relationships/hyperlink" Target="https://optovikufa.ru/product/241772/usb-flesh-disk-smartbuy-4gb-lara-black/" TargetMode="External"/><Relationship Id="rId_hyperlink_4653" Type="http://schemas.openxmlformats.org/officeDocument/2006/relationships/hyperlink" Target="https://optovikufa.ru/product/241773/usb-flesh-disk-smartbuy-4gb-lara-blue/" TargetMode="External"/><Relationship Id="rId_hyperlink_4654" Type="http://schemas.openxmlformats.org/officeDocument/2006/relationships/hyperlink" Target="https://optovikufa.ru/product/241774/usb-flesh-disk-smartbuy-4gb-lara-red/" TargetMode="External"/><Relationship Id="rId_hyperlink_4655" Type="http://schemas.openxmlformats.org/officeDocument/2006/relationships/hyperlink" Target="https://optovikufa.ru/product/242373/usb-flesh-disk-smartbuy-4gb-lara-white/" TargetMode="External"/><Relationship Id="rId_hyperlink_4656" Type="http://schemas.openxmlformats.org/officeDocument/2006/relationships/hyperlink" Target="https://optovikufa.ru/product/126928/usb-flesh-disk-smartbuy-4gb-quartz-series-violet/" TargetMode="External"/><Relationship Id="rId_hyperlink_4657" Type="http://schemas.openxmlformats.org/officeDocument/2006/relationships/hyperlink" Target="https://optovikufa.ru/product/236732/usb-flesh-disk-smartbuy-4gb-scout-black/" TargetMode="External"/><Relationship Id="rId_hyperlink_4658" Type="http://schemas.openxmlformats.org/officeDocument/2006/relationships/hyperlink" Target="https://optovikufa.ru/product/236733/usb-flesh-disk-smartbuy-4gb-scout-blue/" TargetMode="External"/><Relationship Id="rId_hyperlink_4659" Type="http://schemas.openxmlformats.org/officeDocument/2006/relationships/hyperlink" Target="https://optovikufa.ru/product/236734/usb-flesh-disk-smartbuy-4gb-scout-red/" TargetMode="External"/><Relationship Id="rId_hyperlink_4660" Type="http://schemas.openxmlformats.org/officeDocument/2006/relationships/hyperlink" Target="https://optovikufa.ru/product/237087/usb-flesh-disk-smartbuy-4gb-scout-white/" TargetMode="External"/><Relationship Id="rId_hyperlink_4661" Type="http://schemas.openxmlformats.org/officeDocument/2006/relationships/hyperlink" Target="https://optovikufa.ru/product/239771/usb-flesh-disk-smartbuy-4gb-twist-black/" TargetMode="External"/><Relationship Id="rId_hyperlink_4662" Type="http://schemas.openxmlformats.org/officeDocument/2006/relationships/hyperlink" Target="https://optovikufa.ru/product/239770/usb-flesh-disk-smartbuy-4gb-twist-blue/" TargetMode="External"/><Relationship Id="rId_hyperlink_4663" Type="http://schemas.openxmlformats.org/officeDocument/2006/relationships/hyperlink" Target="https://optovikufa.ru/product/239769/usb-flesh-disk-smartbuy-4gb-twist-yellow/" TargetMode="External"/><Relationship Id="rId_hyperlink_4664" Type="http://schemas.openxmlformats.org/officeDocument/2006/relationships/hyperlink" Target="https://optovikufa.ru/product/130360/usb-flesh-disk-smartbuy-4gb-v-cut-black/" TargetMode="External"/><Relationship Id="rId_hyperlink_4665" Type="http://schemas.openxmlformats.org/officeDocument/2006/relationships/hyperlink" Target="https://optovikufa.ru/product/130361/usb-flesh-disk-smartbuy-4gb-v-cut-blue/" TargetMode="External"/><Relationship Id="rId_hyperlink_4666" Type="http://schemas.openxmlformats.org/officeDocument/2006/relationships/hyperlink" Target="https://optovikufa.ru/product/137773/usb-flesh-disk-smartbuy-4gb-v-cut-silver/" TargetMode="External"/><Relationship Id="rId_hyperlink_4667" Type="http://schemas.openxmlformats.org/officeDocument/2006/relationships/hyperlink" Target="https://optovikufa.ru/product/243101/usb-flesh-disk-smartbuy-512gb-30-scout-black/" TargetMode="External"/><Relationship Id="rId_hyperlink_4668" Type="http://schemas.openxmlformats.org/officeDocument/2006/relationships/hyperlink" Target="https://optovikufa.ru/product/243102/usb-flesh-disk-smartbuy-512gb-30-scout-white/" TargetMode="External"/><Relationship Id="rId_hyperlink_4669" Type="http://schemas.openxmlformats.org/officeDocument/2006/relationships/hyperlink" Target="https://optovikufa.ru/product/243103/usb-flesh-disk-smartbuy-512gb-30-twist-dual-type-ctype-a/" TargetMode="External"/><Relationship Id="rId_hyperlink_4670" Type="http://schemas.openxmlformats.org/officeDocument/2006/relationships/hyperlink" Target="https://optovikufa.ru/product/219385/usb-flesh-disk-smartbuy-64gb-30-iron-whitered/" TargetMode="External"/><Relationship Id="rId_hyperlink_4671" Type="http://schemas.openxmlformats.org/officeDocument/2006/relationships/hyperlink" Target="https://optovikufa.ru/product/138359/usb-flesh-disk-smartbuy-64gb-30-crown-blue/" TargetMode="External"/><Relationship Id="rId_hyperlink_4672" Type="http://schemas.openxmlformats.org/officeDocument/2006/relationships/hyperlink" Target="https://optovikufa.ru/product/191558/usb-flesh-disk-smartbuy-64gb-30-glossy-series-dark-blue/" TargetMode="External"/><Relationship Id="rId_hyperlink_4673" Type="http://schemas.openxmlformats.org/officeDocument/2006/relationships/hyperlink" Target="https://optovikufa.ru/product/151789/usb-flesh-disk-smartbuy-64gb-30-v-cut-black/" TargetMode="External"/><Relationship Id="rId_hyperlink_4674" Type="http://schemas.openxmlformats.org/officeDocument/2006/relationships/hyperlink" Target="https://optovikufa.ru/product/177526/usb-flesh-disk-smartbuy-64gb-30-v-cut-blue/" TargetMode="External"/><Relationship Id="rId_hyperlink_4675" Type="http://schemas.openxmlformats.org/officeDocument/2006/relationships/hyperlink" Target="https://optovikufa.ru/product/151790/usb-flesh-disk-smartbuy-64gb-30-v-cut-silver/" TargetMode="External"/><Relationship Id="rId_hyperlink_4676" Type="http://schemas.openxmlformats.org/officeDocument/2006/relationships/hyperlink" Target="https://optovikufa.ru/product/137963/usb-flesh-disk-smartbuy-64gb-3031-glossy-series-dark-grey/" TargetMode="External"/><Relationship Id="rId_hyperlink_4677" Type="http://schemas.openxmlformats.org/officeDocument/2006/relationships/hyperlink" Target="https://optovikufa.ru/product/242865/usb-flesh-disk-smartbuy-64gb-3031-scout-white/" TargetMode="External"/><Relationship Id="rId_hyperlink_4678" Type="http://schemas.openxmlformats.org/officeDocument/2006/relationships/hyperlink" Target="https://optovikufa.ru/product/221557/usb-flesh-disk-smartbuy-64gb-3031-stream-red/" TargetMode="External"/><Relationship Id="rId_hyperlink_4679" Type="http://schemas.openxmlformats.org/officeDocument/2006/relationships/hyperlink" Target="https://optovikufa.ru/product/219815/usb-flesh-disk-smartbuy-64gb-art-black/" TargetMode="External"/><Relationship Id="rId_hyperlink_4680" Type="http://schemas.openxmlformats.org/officeDocument/2006/relationships/hyperlink" Target="https://optovikufa.ru/product/135542/usb-flesh-disk-smartbuy-64gb-click-black/" TargetMode="External"/><Relationship Id="rId_hyperlink_4681" Type="http://schemas.openxmlformats.org/officeDocument/2006/relationships/hyperlink" Target="https://optovikufa.ru/product/234404/usb-flesh-disk-smartbuy-64gb-clue-black/" TargetMode="External"/><Relationship Id="rId_hyperlink_4682" Type="http://schemas.openxmlformats.org/officeDocument/2006/relationships/hyperlink" Target="https://optovikufa.ru/product/234405/usb-flesh-disk-smartbuy-64gb-clue-blue/" TargetMode="External"/><Relationship Id="rId_hyperlink_4683" Type="http://schemas.openxmlformats.org/officeDocument/2006/relationships/hyperlink" Target="https://optovikufa.ru/product/231902/usb-flesh-disk-smartbuy-64gb-clue-red/" TargetMode="External"/><Relationship Id="rId_hyperlink_4684" Type="http://schemas.openxmlformats.org/officeDocument/2006/relationships/hyperlink" Target="https://optovikufa.ru/product/234407/usb-flesh-disk-smartbuy-64gb-clue-white/" TargetMode="External"/><Relationship Id="rId_hyperlink_4685" Type="http://schemas.openxmlformats.org/officeDocument/2006/relationships/hyperlink" Target="https://optovikufa.ru/product/231901/usb-flesh-disk-smartbuy-64gb-clue-yellow/" TargetMode="External"/><Relationship Id="rId_hyperlink_4686" Type="http://schemas.openxmlformats.org/officeDocument/2006/relationships/hyperlink" Target="https://optovikufa.ru/product/135544/usb-flesh-disk-smartbuy-64gb-crown-black/" TargetMode="External"/><Relationship Id="rId_hyperlink_4687" Type="http://schemas.openxmlformats.org/officeDocument/2006/relationships/hyperlink" Target="https://optovikufa.ru/product/122752/usb-flesh-disk-smartbuy-64gb-glossy-series-blue/" TargetMode="External"/><Relationship Id="rId_hyperlink_4688" Type="http://schemas.openxmlformats.org/officeDocument/2006/relationships/hyperlink" Target="https://optovikufa.ru/product/132504/usb-flesh-disk-smartbuy-64gb-lara-black/" TargetMode="External"/><Relationship Id="rId_hyperlink_4689" Type="http://schemas.openxmlformats.org/officeDocument/2006/relationships/hyperlink" Target="https://optovikufa.ru/product/177525/usb-flesh-disk-smartbuy-64gb-lara-blue/" TargetMode="External"/><Relationship Id="rId_hyperlink_4690" Type="http://schemas.openxmlformats.org/officeDocument/2006/relationships/hyperlink" Target="https://optovikufa.ru/product/226943/usb-flesh-disk-smartbuy-64gb-lara-red/" TargetMode="External"/><Relationship Id="rId_hyperlink_4691" Type="http://schemas.openxmlformats.org/officeDocument/2006/relationships/hyperlink" Target="https://optovikufa.ru/product/177524/usb-flesh-disk-smartbuy-64gb-lara-white/" TargetMode="External"/><Relationship Id="rId_hyperlink_4692" Type="http://schemas.openxmlformats.org/officeDocument/2006/relationships/hyperlink" Target="https://optovikufa.ru/product/239060/usb-flesh-disk-smartbuy-64gb-m3-metal/" TargetMode="External"/><Relationship Id="rId_hyperlink_4693" Type="http://schemas.openxmlformats.org/officeDocument/2006/relationships/hyperlink" Target="https://optovikufa.ru/product/240417/usb-flesh-disk-smartbuy-64gb-mc2-metal-blue/" TargetMode="External"/><Relationship Id="rId_hyperlink_4694" Type="http://schemas.openxmlformats.org/officeDocument/2006/relationships/hyperlink" Target="https://optovikufa.ru/product/240418/usb-flesh-disk-smartbuy-64gb-mc5-metal-kitty-pink/" TargetMode="External"/><Relationship Id="rId_hyperlink_4695" Type="http://schemas.openxmlformats.org/officeDocument/2006/relationships/hyperlink" Target="https://optovikufa.ru/product/240419/usb-flesh-disk-smartbuy-64gb-mc8-metal-red/" TargetMode="External"/><Relationship Id="rId_hyperlink_4696" Type="http://schemas.openxmlformats.org/officeDocument/2006/relationships/hyperlink" Target="https://optovikufa.ru/product/238449/usb-flesh-disk-smartbuy-64gb-scout-black/" TargetMode="External"/><Relationship Id="rId_hyperlink_4697" Type="http://schemas.openxmlformats.org/officeDocument/2006/relationships/hyperlink" Target="https://optovikufa.ru/product/238450/usb-flesh-disk-smartbuy-64gb-scout-blue/" TargetMode="External"/><Relationship Id="rId_hyperlink_4698" Type="http://schemas.openxmlformats.org/officeDocument/2006/relationships/hyperlink" Target="https://optovikufa.ru/product/236742/usb-flesh-disk-smartbuy-64gb-scout-red/" TargetMode="External"/><Relationship Id="rId_hyperlink_4699" Type="http://schemas.openxmlformats.org/officeDocument/2006/relationships/hyperlink" Target="https://optovikufa.ru/product/238451/usb-flesh-disk-smartbuy-64gb-scout-white/" TargetMode="External"/><Relationship Id="rId_hyperlink_4700" Type="http://schemas.openxmlformats.org/officeDocument/2006/relationships/hyperlink" Target="https://optovikufa.ru/product/223619/usb-flesh-disk-smartbuy-64gb-stream-yellow/" TargetMode="External"/><Relationship Id="rId_hyperlink_4701" Type="http://schemas.openxmlformats.org/officeDocument/2006/relationships/hyperlink" Target="https://optovikufa.ru/product/236743/usb-flesh-disk-smartbuy-64gb-twist-black/" TargetMode="External"/><Relationship Id="rId_hyperlink_4702" Type="http://schemas.openxmlformats.org/officeDocument/2006/relationships/hyperlink" Target="https://optovikufa.ru/product/236744/usb-flesh-disk-smartbuy-64gb-twist-blue/" TargetMode="External"/><Relationship Id="rId_hyperlink_4703" Type="http://schemas.openxmlformats.org/officeDocument/2006/relationships/hyperlink" Target="https://optovikufa.ru/product/239054/usb-flesh-disk-smartbuy-64gb-twist-yellow/" TargetMode="External"/><Relationship Id="rId_hyperlink_4704" Type="http://schemas.openxmlformats.org/officeDocument/2006/relationships/hyperlink" Target="https://optovikufa.ru/product/130223/usb-flesh-disk-smartbuy-64gb-v-cut-black/" TargetMode="External"/><Relationship Id="rId_hyperlink_4705" Type="http://schemas.openxmlformats.org/officeDocument/2006/relationships/hyperlink" Target="https://optovikufa.ru/product/130224/usb-flesh-disk-smartbuy-64gb-v-cut-silver/" TargetMode="External"/><Relationship Id="rId_hyperlink_4706" Type="http://schemas.openxmlformats.org/officeDocument/2006/relationships/hyperlink" Target="https://optovikufa.ru/product/221554/usb-flesh-disk-smartbuy-8gb-art-black/" TargetMode="External"/><Relationship Id="rId_hyperlink_4707" Type="http://schemas.openxmlformats.org/officeDocument/2006/relationships/hyperlink" Target="https://optovikufa.ru/product/231898/usb-flesh-disk-smartbuy-8gb-clue-black/" TargetMode="External"/><Relationship Id="rId_hyperlink_4708" Type="http://schemas.openxmlformats.org/officeDocument/2006/relationships/hyperlink" Target="https://optovikufa.ru/product/233688/usb-flesh-disk-smartbuy-8gb-clue-blue/" TargetMode="External"/><Relationship Id="rId_hyperlink_4709" Type="http://schemas.openxmlformats.org/officeDocument/2006/relationships/hyperlink" Target="https://optovikufa.ru/product/233689/usb-flesh-disk-smartbuy-8gb-clue-burgundy/" TargetMode="External"/><Relationship Id="rId_hyperlink_4710" Type="http://schemas.openxmlformats.org/officeDocument/2006/relationships/hyperlink" Target="https://optovikufa.ru/product/231897/usb-flesh-disk-smartbuy-8gb-clue-red/" TargetMode="External"/><Relationship Id="rId_hyperlink_4711" Type="http://schemas.openxmlformats.org/officeDocument/2006/relationships/hyperlink" Target="https://optovikufa.ru/product/231894/usb-flesh-disk-smartbuy-8gb-clue-white/" TargetMode="External"/><Relationship Id="rId_hyperlink_4712" Type="http://schemas.openxmlformats.org/officeDocument/2006/relationships/hyperlink" Target="https://optovikufa.ru/product/231896/usb-flesh-disk-smartbuy-8gb-clue-yellow/" TargetMode="External"/><Relationship Id="rId_hyperlink_4713" Type="http://schemas.openxmlformats.org/officeDocument/2006/relationships/hyperlink" Target="https://optovikufa.ru/product/153476/usb-flesh-disk-smartbuy-8gb-crown-black/" TargetMode="External"/><Relationship Id="rId_hyperlink_4714" Type="http://schemas.openxmlformats.org/officeDocument/2006/relationships/hyperlink" Target="https://optovikufa.ru/product/153470/usb-flesh-disk-smartbuy-8gb-crown-white/" TargetMode="External"/><Relationship Id="rId_hyperlink_4715" Type="http://schemas.openxmlformats.org/officeDocument/2006/relationships/hyperlink" Target="https://optovikufa.ru/product/135634/usb-flesh-disk-smartbuy-8gb-dock-blue/" TargetMode="External"/><Relationship Id="rId_hyperlink_4716" Type="http://schemas.openxmlformats.org/officeDocument/2006/relationships/hyperlink" Target="https://optovikufa.ru/product/135635/usb-flesh-disk-smartbuy-8gb-dock-red/" TargetMode="External"/><Relationship Id="rId_hyperlink_4717" Type="http://schemas.openxmlformats.org/officeDocument/2006/relationships/hyperlink" Target="https://optovikufa.ru/product/137454/usb-flesh-disk-smartbuy-8gb-glossy-series-black/" TargetMode="External"/><Relationship Id="rId_hyperlink_4718" Type="http://schemas.openxmlformats.org/officeDocument/2006/relationships/hyperlink" Target="https://optovikufa.ru/product/137455/usb-flesh-disk-smartbuy-8gb-glossy-series-blue/" TargetMode="External"/><Relationship Id="rId_hyperlink_4719" Type="http://schemas.openxmlformats.org/officeDocument/2006/relationships/hyperlink" Target="https://optovikufa.ru/product/137456/usb-flesh-disk-smartbuy-8gb-glossy-series-green/" TargetMode="External"/><Relationship Id="rId_hyperlink_4720" Type="http://schemas.openxmlformats.org/officeDocument/2006/relationships/hyperlink" Target="https://optovikufa.ru/product/178464/usb-flesh-disk-smartbuy-8gb-glossy-series-orange/" TargetMode="External"/><Relationship Id="rId_hyperlink_4721" Type="http://schemas.openxmlformats.org/officeDocument/2006/relationships/hyperlink" Target="https://optovikufa.ru/product/137964/usb-flesh-disk-smartbuy-8gb-lara-black/" TargetMode="External"/><Relationship Id="rId_hyperlink_4722" Type="http://schemas.openxmlformats.org/officeDocument/2006/relationships/hyperlink" Target="https://optovikufa.ru/product/137966/usb-flesh-disk-smartbuy-8gb-lara-blue/" TargetMode="External"/><Relationship Id="rId_hyperlink_4723" Type="http://schemas.openxmlformats.org/officeDocument/2006/relationships/hyperlink" Target="https://optovikufa.ru/product/184162/usb-flesh-disk-smartbuy-8gb-paean-white/" TargetMode="External"/><Relationship Id="rId_hyperlink_4724" Type="http://schemas.openxmlformats.org/officeDocument/2006/relationships/hyperlink" Target="https://optovikufa.ru/product/149538/usb-flesh-disk-smartbuy-8gb-quartz-series-black/" TargetMode="External"/><Relationship Id="rId_hyperlink_4725" Type="http://schemas.openxmlformats.org/officeDocument/2006/relationships/hyperlink" Target="https://optovikufa.ru/product/149509/usb-flesh-disk-smartbuy-8gb-quartz-series-violet/" TargetMode="External"/><Relationship Id="rId_hyperlink_4726" Type="http://schemas.openxmlformats.org/officeDocument/2006/relationships/hyperlink" Target="https://optovikufa.ru/product/236736/usb-flesh-disk-smartbuy-8gb-scout-black/" TargetMode="External"/><Relationship Id="rId_hyperlink_4727" Type="http://schemas.openxmlformats.org/officeDocument/2006/relationships/hyperlink" Target="https://optovikufa.ru/product/236737/usb-flesh-disk-smartbuy-8gb-scout-blue/" TargetMode="External"/><Relationship Id="rId_hyperlink_4728" Type="http://schemas.openxmlformats.org/officeDocument/2006/relationships/hyperlink" Target="https://optovikufa.ru/product/236738/usb-flesh-disk-smartbuy-8gb-scout-red/" TargetMode="External"/><Relationship Id="rId_hyperlink_4729" Type="http://schemas.openxmlformats.org/officeDocument/2006/relationships/hyperlink" Target="https://optovikufa.ru/product/237088/usb-flesh-disk-smartbuy-8gb-scout-white/" TargetMode="External"/><Relationship Id="rId_hyperlink_4730" Type="http://schemas.openxmlformats.org/officeDocument/2006/relationships/hyperlink" Target="https://optovikufa.ru/product/167694/usb-flesh-disk-smartbuy-8gb-stream-blue/" TargetMode="External"/><Relationship Id="rId_hyperlink_4731" Type="http://schemas.openxmlformats.org/officeDocument/2006/relationships/hyperlink" Target="https://optovikufa.ru/product/235770/usb-flesh-disk-smartbuy-8gb-twist-blue/" TargetMode="External"/><Relationship Id="rId_hyperlink_4732" Type="http://schemas.openxmlformats.org/officeDocument/2006/relationships/hyperlink" Target="https://optovikufa.ru/product/235765/usb-flesh-disk-smartbuy-8gb-twist-pink/" TargetMode="External"/><Relationship Id="rId_hyperlink_4733" Type="http://schemas.openxmlformats.org/officeDocument/2006/relationships/hyperlink" Target="https://optovikufa.ru/product/235769/usb-flesh-disk-smartbuy-8gb-twist-yellow/" TargetMode="External"/><Relationship Id="rId_hyperlink_4734" Type="http://schemas.openxmlformats.org/officeDocument/2006/relationships/hyperlink" Target="https://optovikufa.ru/product/130362/usb-flesh-disk-smartbuy-8gb-v-cut-black/" TargetMode="External"/><Relationship Id="rId_hyperlink_4735" Type="http://schemas.openxmlformats.org/officeDocument/2006/relationships/hyperlink" Target="https://optovikufa.ru/product/130363/usb-flesh-disk-smartbuy-8gb-v-cut-blue/" TargetMode="External"/><Relationship Id="rId_hyperlink_4736" Type="http://schemas.openxmlformats.org/officeDocument/2006/relationships/hyperlink" Target="https://optovikufa.ru/product/125598/karta-pamyati-micro-sdxc-smartbuy-64gb-class10-uhs-1/" TargetMode="External"/><Relationship Id="rId_hyperlink_4737" Type="http://schemas.openxmlformats.org/officeDocument/2006/relationships/hyperlink" Target="https://optovikufa.ru/product/178604/karta-pamyati-micro-sdxc-smartbuy-64gb-class10-uhs-1-s-adapterom-sd/" TargetMode="External"/><Relationship Id="rId_hyperlink_4738" Type="http://schemas.openxmlformats.org/officeDocument/2006/relationships/hyperlink" Target="https://optovikufa.ru/product/191319/karta-pamyati-microsd-smartbuy-2gb/" TargetMode="External"/><Relationship Id="rId_hyperlink_4739" Type="http://schemas.openxmlformats.org/officeDocument/2006/relationships/hyperlink" Target="https://optovikufa.ru/product/149487/karta-pamyati-microsd-smartbuy-2gb-adapter-sd/" TargetMode="External"/><Relationship Id="rId_hyperlink_4740" Type="http://schemas.openxmlformats.org/officeDocument/2006/relationships/hyperlink" Target="https://optovikufa.ru/product/240537/karta-pamyati-microsdhc-kingston-128gb-class-10-canvas-select-plus-a1-100-mbs/" TargetMode="External"/><Relationship Id="rId_hyperlink_4741" Type="http://schemas.openxmlformats.org/officeDocument/2006/relationships/hyperlink" Target="https://optovikufa.ru/product/240533/karta-pamyati-microsdhc-kingston-32gb-class-10-adapter-sd-canvas-select-plus-a1-100-mbs/" TargetMode="External"/><Relationship Id="rId_hyperlink_4742" Type="http://schemas.openxmlformats.org/officeDocument/2006/relationships/hyperlink" Target="https://optovikufa.ru/product/235289/karta-pamyati-microsdhc-netac-128gb-class10-90mbs-adapter-sd/" TargetMode="External"/><Relationship Id="rId_hyperlink_4743" Type="http://schemas.openxmlformats.org/officeDocument/2006/relationships/hyperlink" Target="https://optovikufa.ru/product/235290/karta-pamyati-microsdhc-netac-128gb-class10-extreme-pro-100mbs-adapter-sd/" TargetMode="External"/><Relationship Id="rId_hyperlink_4744" Type="http://schemas.openxmlformats.org/officeDocument/2006/relationships/hyperlink" Target="https://optovikufa.ru/product/241725/karta-pamyati-microsdhc-netac-128gb-class10-p500-eco-adapter-sd/" TargetMode="External"/><Relationship Id="rId_hyperlink_4745" Type="http://schemas.openxmlformats.org/officeDocument/2006/relationships/hyperlink" Target="https://optovikufa.ru/product/241726/karta-pamyati-microsdhc-netac-128gb-class10-p500-eco-bez-adaptera/" TargetMode="External"/><Relationship Id="rId_hyperlink_4746" Type="http://schemas.openxmlformats.org/officeDocument/2006/relationships/hyperlink" Target="https://optovikufa.ru/product/241709/karta-pamyati-microsdhc-netac-16gb-class10-extreme-pro-100mbs-adapter-sd/" TargetMode="External"/><Relationship Id="rId_hyperlink_4747" Type="http://schemas.openxmlformats.org/officeDocument/2006/relationships/hyperlink" Target="https://optovikufa.ru/product/241710/karta-pamyati-microsdhc-netac-16gb-class10-extreme-pro-100mbs-bez-adaptera/" TargetMode="External"/><Relationship Id="rId_hyperlink_4748" Type="http://schemas.openxmlformats.org/officeDocument/2006/relationships/hyperlink" Target="https://optovikufa.ru/product/227925/karta-pamyati-microsdhc-sandisk-32gb-class10-ultra-light-uhs-i-100mbs/" TargetMode="External"/><Relationship Id="rId_hyperlink_4749" Type="http://schemas.openxmlformats.org/officeDocument/2006/relationships/hyperlink" Target="https://optovikufa.ru/product/127098/karta-pamyati-microsdhc-silicon-power-32gb-class10-adapter-sd-elit-uhs-i-rw-8515-mbs/" TargetMode="External"/><Relationship Id="rId_hyperlink_4750" Type="http://schemas.openxmlformats.org/officeDocument/2006/relationships/hyperlink" Target="https://optovikufa.ru/product/128560/karta-pamyati-microsdhc-smartbuy-16gb-class10-uhs-i/" TargetMode="External"/><Relationship Id="rId_hyperlink_4751" Type="http://schemas.openxmlformats.org/officeDocument/2006/relationships/hyperlink" Target="https://optovikufa.ru/product/149490/karta-pamyati-microsdhc-smartbuy-16gb-class10-uhs-i-adapter-sd/" TargetMode="External"/><Relationship Id="rId_hyperlink_4752" Type="http://schemas.openxmlformats.org/officeDocument/2006/relationships/hyperlink" Target="https://optovikufa.ru/product/176491/karta-pamyati-microsdhc-smartbuy-32gb-class10-uhs-i/" TargetMode="External"/><Relationship Id="rId_hyperlink_4753" Type="http://schemas.openxmlformats.org/officeDocument/2006/relationships/hyperlink" Target="https://optovikufa.ru/product/176492/karta-pamyati-microsdhc-smartbuy-32gb-class10-uhs-i-adapter-sd/" TargetMode="External"/><Relationship Id="rId_hyperlink_4754" Type="http://schemas.openxmlformats.org/officeDocument/2006/relationships/hyperlink" Target="https://optovikufa.ru/product/176489/karta-pamyati-microsdhc-smartbuy-4gb-class10/" TargetMode="External"/><Relationship Id="rId_hyperlink_4755" Type="http://schemas.openxmlformats.org/officeDocument/2006/relationships/hyperlink" Target="https://optovikufa.ru/product/176490/karta-pamyati-microsdhc-smartbuy-4gb-class10-adapter-sd/" TargetMode="External"/><Relationship Id="rId_hyperlink_4756" Type="http://schemas.openxmlformats.org/officeDocument/2006/relationships/hyperlink" Target="https://optovikufa.ru/product/122024/karta-pamyati-microsdhc-smartbuy-8gb-class10/" TargetMode="External"/><Relationship Id="rId_hyperlink_4757" Type="http://schemas.openxmlformats.org/officeDocument/2006/relationships/hyperlink" Target="https://optovikufa.ru/product/122394/karta-pamyati-microsdhc-smartbuy-8gb-class10-adapter-sd/" TargetMode="External"/><Relationship Id="rId_hyperlink_4758" Type="http://schemas.openxmlformats.org/officeDocument/2006/relationships/hyperlink" Target="https://optovikufa.ru/product/240539/karta-pamyati-microsdxc-samsung-evo-plus-512gb-class10-u1-uhs-i-rw-130-mbs-adapter-sd/" TargetMode="External"/><Relationship Id="rId_hyperlink_4759" Type="http://schemas.openxmlformats.org/officeDocument/2006/relationships/hyperlink" Target="https://optovikufa.ru/product/178136/karta-pamyati-microsdxc-sandisk-128gb-class10-ultra-android-uhc-i100mbs/" TargetMode="External"/><Relationship Id="rId_hyperlink_4760" Type="http://schemas.openxmlformats.org/officeDocument/2006/relationships/hyperlink" Target="https://optovikufa.ru/product/227927/karta-pamyati-microsdxc-sandisk-64gb-class10-ultra-light-uhs-i-100-mbs/" TargetMode="External"/><Relationship Id="rId_hyperlink_4761" Type="http://schemas.openxmlformats.org/officeDocument/2006/relationships/hyperlink" Target="https://optovikufa.ru/product/220279/karta-pamyati-microsdxc-smartbuy-128gb-class10-adapter-sd/" TargetMode="External"/><Relationship Id="rId_hyperlink_4762" Type="http://schemas.openxmlformats.org/officeDocument/2006/relationships/hyperlink" Target="https://optovikufa.ru/product/241142/karta-pamyati-microsdxc-smartbuy-128gb-class10-ci10-u3-sb128gbsdu3-01-s-adapterom-sd/" TargetMode="External"/><Relationship Id="rId_hyperlink_4763" Type="http://schemas.openxmlformats.org/officeDocument/2006/relationships/hyperlink" Target="https://optovikufa.ru/product/171681/karta-pamyati-microsdxc-smartbuy-128gb-class10-uhs-1/" TargetMode="External"/><Relationship Id="rId_hyperlink_4764" Type="http://schemas.openxmlformats.org/officeDocument/2006/relationships/hyperlink" Target="https://optovikufa.ru/product/171682/karta-pamyati-microsdxc-smartbuy-128gb-class10-uhs-1-s-adapterom-sd/" TargetMode="External"/><Relationship Id="rId_hyperlink_4765" Type="http://schemas.openxmlformats.org/officeDocument/2006/relationships/hyperlink" Target="https://optovikufa.ru/product/235692/karta-pamyati-microsdxc-smartbuy-128gb-class10-uhs-1-u3-v30-a1-s-adapterom-sd/" TargetMode="External"/><Relationship Id="rId_hyperlink_4766" Type="http://schemas.openxmlformats.org/officeDocument/2006/relationships/hyperlink" Target="https://optovikufa.ru/product/221070/karta-pamyati-microsdxc-smartbuy-256gb-class10-uhs-i/" TargetMode="External"/><Relationship Id="rId_hyperlink_4767" Type="http://schemas.openxmlformats.org/officeDocument/2006/relationships/hyperlink" Target="https://optovikufa.ru/product/221073/karta-pamyati-microsdxc-smartbuy-256gb-class10-uhs-i-adapterom-sd/" TargetMode="External"/><Relationship Id="rId_hyperlink_4768" Type="http://schemas.openxmlformats.org/officeDocument/2006/relationships/hyperlink" Target="https://optovikufa.ru/product/183771/karta-pamyati-microsdxc-transcend-128gb-class10-uhs-i-adapter-sd/" TargetMode="External"/><Relationship Id="rId_hyperlink_4769" Type="http://schemas.openxmlformats.org/officeDocument/2006/relationships/hyperlink" Target="https://optovikufa.ru/product/217762/karta-pamyati-microsdxc-transcend-64gb-300s-uhs-i-u1-adapter-sd/" TargetMode="External"/><Relationship Id="rId_hyperlink_4770" Type="http://schemas.openxmlformats.org/officeDocument/2006/relationships/hyperlink" Target="https://optovikufa.ru/product/233853/karta-pamyati-microsdxc-transcend-64gb-300s-uhs-i-u1-bez-adaptera/" TargetMode="External"/><Relationship Id="rId_hyperlink_4771" Type="http://schemas.openxmlformats.org/officeDocument/2006/relationships/hyperlink" Target="https://optovikufa.ru/product/135104/disk-cd-r-smartbuy-fresh-watermelon-700mb-52x-cb-10/" TargetMode="External"/><Relationship Id="rId_hyperlink_4772" Type="http://schemas.openxmlformats.org/officeDocument/2006/relationships/hyperlink" Target="https://optovikufa.ru/product/237968/disk-cd-rw-vs-700mb-4-12x-cb-10/" TargetMode="External"/><Relationship Id="rId_hyperlink_4773" Type="http://schemas.openxmlformats.org/officeDocument/2006/relationships/hyperlink" Target="https://optovikufa.ru/product/237967/disk-cd-rw-vs-700mb-4-12x-sl-5/" TargetMode="External"/><Relationship Id="rId_hyperlink_4774" Type="http://schemas.openxmlformats.org/officeDocument/2006/relationships/hyperlink" Target="https://optovikufa.ru/product/129012/disk-dvdrw-smarttrack-47gb-4x-cb-10/" TargetMode="External"/><Relationship Id="rId_hyperlink_4775" Type="http://schemas.openxmlformats.org/officeDocument/2006/relationships/hyperlink" Target="https://optovikufa.ru/product/135244/disk-dvdrw-vs-47gb-4x-sl-5/" TargetMode="External"/><Relationship Id="rId_hyperlink_4776" Type="http://schemas.openxmlformats.org/officeDocument/2006/relationships/hyperlink" Target="https://optovikufa.ru/product/134750/disk-dvd-r-mini-smarttrack-double-side-28-gb-2x-cb-50/" TargetMode="External"/><Relationship Id="rId_hyperlink_4777" Type="http://schemas.openxmlformats.org/officeDocument/2006/relationships/hyperlink" Target="https://optovikufa.ru/product/124467/konvert-dlya-cddvd-diskov-dvuhstoronniy-upak100/" TargetMode="External"/><Relationship Id="rId_hyperlink_4778" Type="http://schemas.openxmlformats.org/officeDocument/2006/relationships/hyperlink" Target="https://optovikufa.ru/product/145698/futlyar-dlya-10-cd-case-prozrachnyy/" TargetMode="External"/><Relationship Id="rId_hyperlink_4779" Type="http://schemas.openxmlformats.org/officeDocument/2006/relationships/hyperlink" Target="https://optovikufa.ru/product/148600/futlyar-dlya-1cd-jewel-prozrachnyy/" TargetMode="External"/><Relationship Id="rId_hyperlink_4780" Type="http://schemas.openxmlformats.org/officeDocument/2006/relationships/hyperlink" Target="https://optovikufa.ru/product/148621/futlyar-dlya-1cd-jewel-chernyy/" TargetMode="External"/><Relationship Id="rId_hyperlink_4781" Type="http://schemas.openxmlformats.org/officeDocument/2006/relationships/hyperlink" Target="https://optovikufa.ru/product/135138/futlyar-dlya-1cd-kick-out-prozrachnyy/" TargetMode="External"/><Relationship Id="rId_hyperlink_4782" Type="http://schemas.openxmlformats.org/officeDocument/2006/relationships/hyperlink" Target="https://optovikufa.ru/product/170869/futlyar-dlya-2cd-jewel-chernyy/" TargetMode="External"/><Relationship Id="rId_hyperlink_4783" Type="http://schemas.openxmlformats.org/officeDocument/2006/relationships/hyperlink" Target="https://optovikufa.ru/product/126840/futlyar-dlya-2dvd-14mm-glyancevyy-vysokiy-holder/" TargetMode="External"/><Relationship Id="rId_hyperlink_4784" Type="http://schemas.openxmlformats.org/officeDocument/2006/relationships/hyperlink" Target="https://optovikufa.ru/product/122808/futlyar-dlya-2dvd-9mm-chernyy-glyanec/" TargetMode="External"/><Relationship Id="rId_hyperlink_4785" Type="http://schemas.openxmlformats.org/officeDocument/2006/relationships/hyperlink" Target="https://optovikufa.ru/product/178668/futlyar-dlya-5dvd-b-glossy/" TargetMode="External"/><Relationship Id="rId_hyperlink_4786" Type="http://schemas.openxmlformats.org/officeDocument/2006/relationships/hyperlink" Target="https://optovikufa.ru/product/138356/futlyar-dlya-blu-ray-1-blue-11mm-glyancevyy-s-logotipom/" TargetMode="External"/><Relationship Id="rId_hyperlink_4787" Type="http://schemas.openxmlformats.org/officeDocument/2006/relationships/hyperlink" Target="https://optovikufa.ru/product/154227/lampa-galogennaya-kapsulnaya-g4-12v-10vt-jc-camelion/" TargetMode="External"/><Relationship Id="rId_hyperlink_4788" Type="http://schemas.openxmlformats.org/officeDocument/2006/relationships/hyperlink" Target="https://optovikufa.ru/product/131151/lampa-galogennaya-kapsulnaya-g4-12v-20vt-jc-camelion/" TargetMode="External"/><Relationship Id="rId_hyperlink_4789" Type="http://schemas.openxmlformats.org/officeDocument/2006/relationships/hyperlink" Target="https://optovikufa.ru/product/240477/lampa-galogennaya-kapsulnaya-g4-12v-20vt-jc-feron/" TargetMode="External"/><Relationship Id="rId_hyperlink_4790" Type="http://schemas.openxmlformats.org/officeDocument/2006/relationships/hyperlink" Target="https://optovikufa.ru/product/242717/lampa-galogennaya-kapsulnaya-g4-12v-20vt-jc-era/" TargetMode="External"/><Relationship Id="rId_hyperlink_4791" Type="http://schemas.openxmlformats.org/officeDocument/2006/relationships/hyperlink" Target="https://optovikufa.ru/product/154228/lampa-galogennaya-kapsulnaya-g4-12v-35vt-jc-camelion/" TargetMode="External"/><Relationship Id="rId_hyperlink_4792" Type="http://schemas.openxmlformats.org/officeDocument/2006/relationships/hyperlink" Target="https://optovikufa.ru/product/240913/lampa-galogennaya-kapsulnaya-g4-12v-35vt-jc-feron/" TargetMode="External"/><Relationship Id="rId_hyperlink_4793" Type="http://schemas.openxmlformats.org/officeDocument/2006/relationships/hyperlink" Target="https://optovikufa.ru/product/136359/lampa-galogennaya-kapsulnaya-g4-230v-20vt-jd-camelion/" TargetMode="External"/><Relationship Id="rId_hyperlink_4794" Type="http://schemas.openxmlformats.org/officeDocument/2006/relationships/hyperlink" Target="https://optovikufa.ru/product/136360/lampa-galogennaya-kapsulnaya-g4-230v-35vt-jd-camelion/" TargetMode="External"/><Relationship Id="rId_hyperlink_4795" Type="http://schemas.openxmlformats.org/officeDocument/2006/relationships/hyperlink" Target="https://optovikufa.ru/product/154229/lampa-galogennaya-kapsulnaya-g635-230v-35vt-jd-camelion/" TargetMode="External"/><Relationship Id="rId_hyperlink_4796" Type="http://schemas.openxmlformats.org/officeDocument/2006/relationships/hyperlink" Target="https://optovikufa.ru/product/154230/lampa-galogennaya-kapsulnaya-g635-230v-50vt-jd-camelion/" TargetMode="External"/><Relationship Id="rId_hyperlink_4797" Type="http://schemas.openxmlformats.org/officeDocument/2006/relationships/hyperlink" Target="https://optovikufa.ru/product/174586/lampa-galogennaya-kapsulnaya-g9-25vt-220v-cl-prozrachnaya-camelion/" TargetMode="External"/><Relationship Id="rId_hyperlink_4798" Type="http://schemas.openxmlformats.org/officeDocument/2006/relationships/hyperlink" Target="https://optovikufa.ru/product/149770/lampa-galogennaya-kapsulnaya-g9-40vt-220v-cl-prozrachnaya-camelion/" TargetMode="External"/><Relationship Id="rId_hyperlink_4799" Type="http://schemas.openxmlformats.org/officeDocument/2006/relationships/hyperlink" Target="https://optovikufa.ru/product/242881/lampa-galogennaya-kapsulnaya-g9-40vt-220v-fr-matovaya-era/" TargetMode="External"/><Relationship Id="rId_hyperlink_4800" Type="http://schemas.openxmlformats.org/officeDocument/2006/relationships/hyperlink" Target="https://optovikufa.ru/product/240124/lampa-galogennaya-kapsulnaya-g9-60vt-220v-cl-prozrachnaya-feron/" TargetMode="External"/><Relationship Id="rId_hyperlink_4801" Type="http://schemas.openxmlformats.org/officeDocument/2006/relationships/hyperlink" Target="https://optovikufa.ru/product/242882/lampa-galogennaya-kapsulnaya-g9-60vt-220v-fr-matovaya-era/" TargetMode="External"/><Relationship Id="rId_hyperlink_4802" Type="http://schemas.openxmlformats.org/officeDocument/2006/relationships/hyperlink" Target="https://optovikufa.ru/product/242740/lampa-galogennaya-lineynaya-r7s-l-117mm-150vt-220v-j78-navigator/" TargetMode="External"/><Relationship Id="rId_hyperlink_4803" Type="http://schemas.openxmlformats.org/officeDocument/2006/relationships/hyperlink" Target="https://optovikufa.ru/product/154241/lampa-galogennaya-lineynaya-r7s-l-78mm-100vt-220v-j78-camelion/" TargetMode="External"/><Relationship Id="rId_hyperlink_4804" Type="http://schemas.openxmlformats.org/officeDocument/2006/relationships/hyperlink" Target="https://optovikufa.ru/product/240126/lampa-galogennaya-lineynaya-r7s-l-78mm-100vt-220v-j78-navigator/" TargetMode="External"/><Relationship Id="rId_hyperlink_4805" Type="http://schemas.openxmlformats.org/officeDocument/2006/relationships/hyperlink" Target="https://optovikufa.ru/product/131150/lampa-galogennaya-lineynaya-r7s-l-78mm-150vt-220v-j78-camelion/" TargetMode="External"/><Relationship Id="rId_hyperlink_4806" Type="http://schemas.openxmlformats.org/officeDocument/2006/relationships/hyperlink" Target="https://optovikufa.ru/product/240127/lampa-galogennaya-lineynaya-r7s-l-78mm-150vt-220v-j78-navigator/" TargetMode="External"/><Relationship Id="rId_hyperlink_4807" Type="http://schemas.openxmlformats.org/officeDocument/2006/relationships/hyperlink" Target="https://optovikufa.ru/product/154238/lampa-galogennaya-lineynaya-r7s-l118mm-300vt-220v-j118-camelion/" TargetMode="External"/><Relationship Id="rId_hyperlink_4808" Type="http://schemas.openxmlformats.org/officeDocument/2006/relationships/hyperlink" Target="https://optovikufa.ru/product/154239/lampa-galogennaya-lineynaya-r7s-l118mm-500vt-220v-j118-camelion/" TargetMode="External"/><Relationship Id="rId_hyperlink_4809" Type="http://schemas.openxmlformats.org/officeDocument/2006/relationships/hyperlink" Target="https://optovikufa.ru/product/191715/lampa-galogennaya-s-otrazhatelem-gu53-jcdr-20vt-220v-50mm-s-zasch-steklom-camelion/" TargetMode="External"/><Relationship Id="rId_hyperlink_4810" Type="http://schemas.openxmlformats.org/officeDocument/2006/relationships/hyperlink" Target="https://optovikufa.ru/product/132700/lampa-galogennaya-s-otrazhatelem-gu53-jcdr-35vt-220v-50mm-s-zasch-steklom-camelion/" TargetMode="External"/><Relationship Id="rId_hyperlink_4811" Type="http://schemas.openxmlformats.org/officeDocument/2006/relationships/hyperlink" Target="https://optovikufa.ru/product/240652/lampa-galogennaya-s-otrazhatelem-gu53-jcdr-35vt-220v-50mm-s-zasch-steklom-feron/" TargetMode="External"/><Relationship Id="rId_hyperlink_4812" Type="http://schemas.openxmlformats.org/officeDocument/2006/relationships/hyperlink" Target="https://optovikufa.ru/product/132679/lampa-galogennaya-s-otrazhatelem-gu53-jcdr-35vt-220v-50mm-s-zasch-steklom-tdm/" TargetMode="External"/><Relationship Id="rId_hyperlink_4813" Type="http://schemas.openxmlformats.org/officeDocument/2006/relationships/hyperlink" Target="https://optovikufa.ru/product/132680/lampa-galogennaya-s-otrazhatelem-gu53-jcdr-50vt-220v-50mm-s-zasch-steklom-tdm/" TargetMode="External"/><Relationship Id="rId_hyperlink_4814" Type="http://schemas.openxmlformats.org/officeDocument/2006/relationships/hyperlink" Target="https://optovikufa.ru/product/242718/lampa-galogennaya-s-otrazhatelem-gu53-jcdr-50vt-220v-51mm-s-zasch-steklom-navigator/" TargetMode="External"/><Relationship Id="rId_hyperlink_4815" Type="http://schemas.openxmlformats.org/officeDocument/2006/relationships/hyperlink" Target="https://optovikufa.ru/product/132637/lampa-lyumineccentnaya-ft8-10vt-6500k-g13-camelion/" TargetMode="External"/><Relationship Id="rId_hyperlink_4816" Type="http://schemas.openxmlformats.org/officeDocument/2006/relationships/hyperlink" Target="https://optovikufa.ru/product/145287/lampa-lyumineccentnaya-ft8-15vt-6500k-g13-camelion/" TargetMode="External"/><Relationship Id="rId_hyperlink_4817" Type="http://schemas.openxmlformats.org/officeDocument/2006/relationships/hyperlink" Target="https://optovikufa.ru/product/158613/lampa-lyumineccentnaya-ft8-18vt-6500k-g13-osram/" TargetMode="External"/><Relationship Id="rId_hyperlink_4818" Type="http://schemas.openxmlformats.org/officeDocument/2006/relationships/hyperlink" Target="https://optovikufa.ru/product/145288/lampa-lyumineccentnaya-ft8-30vt-6500k-g13-camelion/" TargetMode="External"/><Relationship Id="rId_hyperlink_4819" Type="http://schemas.openxmlformats.org/officeDocument/2006/relationships/hyperlink" Target="https://optovikufa.ru/product/133349/lampa-lyumineccentnaya-ft8-36vt-6500k-g13-osram/" TargetMode="External"/><Relationship Id="rId_hyperlink_4820" Type="http://schemas.openxmlformats.org/officeDocument/2006/relationships/hyperlink" Target="https://optovikufa.ru/product/132685/lampa-lyuminiccentnaya-ft4-6vt-6500k-g5-camelion/" TargetMode="External"/><Relationship Id="rId_hyperlink_4821" Type="http://schemas.openxmlformats.org/officeDocument/2006/relationships/hyperlink" Target="https://optovikufa.ru/product/236630/lampa-lyuminiccentnaya-ft4-12vt-6500k-g5-camelion/" TargetMode="External"/><Relationship Id="rId_hyperlink_4822" Type="http://schemas.openxmlformats.org/officeDocument/2006/relationships/hyperlink" Target="https://optovikufa.ru/product/236326/lampa-lyuminiccentnaya-ft4-16vt-6500k-g5-camelion/" TargetMode="External"/><Relationship Id="rId_hyperlink_4823" Type="http://schemas.openxmlformats.org/officeDocument/2006/relationships/hyperlink" Target="https://optovikufa.ru/product/236631/lampa-lyuminiccentnaya-ft5-6vt-6500k-camelion/" TargetMode="External"/><Relationship Id="rId_hyperlink_4824" Type="http://schemas.openxmlformats.org/officeDocument/2006/relationships/hyperlink" Target="https://optovikufa.ru/product/132692/lampa-lyuminiccentnaya-ft5-8vt-camelion/" TargetMode="External"/><Relationship Id="rId_hyperlink_4825" Type="http://schemas.openxmlformats.org/officeDocument/2006/relationships/hyperlink" Target="https://optovikufa.ru/product/132636/lampa-lyuminiccentnaya-ft5-13vt-6500k-camelion/" TargetMode="External"/><Relationship Id="rId_hyperlink_4826" Type="http://schemas.openxmlformats.org/officeDocument/2006/relationships/hyperlink" Target="https://optovikufa.ru/product/147709/starter-4-22w-110-240v18vt-asd-s2/" TargetMode="External"/><Relationship Id="rId_hyperlink_4827" Type="http://schemas.openxmlformats.org/officeDocument/2006/relationships/hyperlink" Target="https://optovikufa.ru/product/164805/starter-4-65w-220-240v36vt58vt-asd-s10/" TargetMode="External"/><Relationship Id="rId_hyperlink_4828" Type="http://schemas.openxmlformats.org/officeDocument/2006/relationships/hyperlink" Target="https://optovikufa.ru/product/150072/lampa-nakalivaniya-e14-svecha-prozrachnaya-40vt/" TargetMode="External"/><Relationship Id="rId_hyperlink_4829" Type="http://schemas.openxmlformats.org/officeDocument/2006/relationships/hyperlink" Target="https://optovikufa.ru/product/150073/lampa-nakalivaniya-e14-svecha-prozrachnaya-60vt/" TargetMode="External"/><Relationship Id="rId_hyperlink_4830" Type="http://schemas.openxmlformats.org/officeDocument/2006/relationships/hyperlink" Target="https://optovikufa.ru/product/240128/lampa-nakalivaniya-zerkalnaya-r5040vte14-navigator/" TargetMode="External"/><Relationship Id="rId_hyperlink_4831" Type="http://schemas.openxmlformats.org/officeDocument/2006/relationships/hyperlink" Target="https://optovikufa.ru/product/143995/lampa-nakalivaniya-zerkalnaya-r5040vte14-tdm/" TargetMode="External"/><Relationship Id="rId_hyperlink_4832" Type="http://schemas.openxmlformats.org/officeDocument/2006/relationships/hyperlink" Target="https://optovikufa.ru/product/240129/lampa-nakalivaniya-zerkalnaya-r5060vte14-navigator/" TargetMode="External"/><Relationship Id="rId_hyperlink_4833" Type="http://schemas.openxmlformats.org/officeDocument/2006/relationships/hyperlink" Target="https://optovikufa.ru/product/137038/lampa-nakalivaniya-zerkalnaya-r5060vte14-tdm/" TargetMode="External"/><Relationship Id="rId_hyperlink_4834" Type="http://schemas.openxmlformats.org/officeDocument/2006/relationships/hyperlink" Target="https://optovikufa.ru/product/140920/lampa-nakalivaniya-zerkalnaya-r6340vte27-camelion/" TargetMode="External"/><Relationship Id="rId_hyperlink_4835" Type="http://schemas.openxmlformats.org/officeDocument/2006/relationships/hyperlink" Target="https://optovikufa.ru/product/123716/lampa-nakalivaniya-lon-e27-25vt/" TargetMode="External"/><Relationship Id="rId_hyperlink_4836" Type="http://schemas.openxmlformats.org/officeDocument/2006/relationships/hyperlink" Target="https://optovikufa.ru/product/123717/lampa-nakalivaniya-lon-e27-40vt/" TargetMode="External"/><Relationship Id="rId_hyperlink_4837" Type="http://schemas.openxmlformats.org/officeDocument/2006/relationships/hyperlink" Target="https://optovikufa.ru/product/123718/lampa-nakalivaniya-lon-e27-60vt/" TargetMode="External"/><Relationship Id="rId_hyperlink_4838" Type="http://schemas.openxmlformats.org/officeDocument/2006/relationships/hyperlink" Target="https://optovikufa.ru/product/136242/lampa-nakalivaniya-lon-e27-75vt/" TargetMode="External"/><Relationship Id="rId_hyperlink_4839" Type="http://schemas.openxmlformats.org/officeDocument/2006/relationships/hyperlink" Target="https://optovikufa.ru/product/149463/lampa-nakalivaniya-lon-e27-95vt/" TargetMode="External"/><Relationship Id="rId_hyperlink_4840" Type="http://schemas.openxmlformats.org/officeDocument/2006/relationships/hyperlink" Target="https://optovikufa.ru/product/154245/lampa-svecha-prozrachnaya-camelion-40bcle27/" TargetMode="External"/><Relationship Id="rId_hyperlink_4841" Type="http://schemas.openxmlformats.org/officeDocument/2006/relationships/hyperlink" Target="https://optovikufa.ru/product/154248/lampa-svecha-prozrachnaya-camelion-60bcle27/" TargetMode="External"/><Relationship Id="rId_hyperlink_4842" Type="http://schemas.openxmlformats.org/officeDocument/2006/relationships/hyperlink" Target="https://optovikufa.ru/product/127053/termoizluchatel-t-150vt-e27/" TargetMode="External"/><Relationship Id="rId_hyperlink_4843" Type="http://schemas.openxmlformats.org/officeDocument/2006/relationships/hyperlink" Target="https://optovikufa.ru/product/127054/termoizluchatel-t-200vt-e27/" TargetMode="External"/><Relationship Id="rId_hyperlink_4844" Type="http://schemas.openxmlformats.org/officeDocument/2006/relationships/hyperlink" Target="https://optovikufa.ru/product/127055/termoizluchatel-t-300vt-e27/" TargetMode="External"/><Relationship Id="rId_hyperlink_4845" Type="http://schemas.openxmlformats.org/officeDocument/2006/relationships/hyperlink" Target="https://optovikufa.ru/product/236388/lampa-svetodiodnaya-zerkalnaya-e14-r39-5vt-2700k-220v-feron/" TargetMode="External"/><Relationship Id="rId_hyperlink_4846" Type="http://schemas.openxmlformats.org/officeDocument/2006/relationships/hyperlink" Target="https://optovikufa.ru/product/191720/lampa-svetodiodnaya-zerkalnaya-e14-r39-5vt-4000k-220v-feron/" TargetMode="External"/><Relationship Id="rId_hyperlink_4847" Type="http://schemas.openxmlformats.org/officeDocument/2006/relationships/hyperlink" Target="https://optovikufa.ru/product/169811/lampa-svetodiodnaya-zerkalnaya-e14-r39-5vt-4500k-220v-general/" TargetMode="External"/><Relationship Id="rId_hyperlink_4848" Type="http://schemas.openxmlformats.org/officeDocument/2006/relationships/hyperlink" Target="https://optovikufa.ru/product/191721/lampa-svetodiodnaya-zerkalnaya-e14-r39-5vt-6400k-220v-feron/" TargetMode="External"/><Relationship Id="rId_hyperlink_4849" Type="http://schemas.openxmlformats.org/officeDocument/2006/relationships/hyperlink" Target="https://optovikufa.ru/product/131446/lampa-svetodiodnaya-zerkalnaya-e14-r50-7vt-2700k-220v-feron/" TargetMode="External"/><Relationship Id="rId_hyperlink_4850" Type="http://schemas.openxmlformats.org/officeDocument/2006/relationships/hyperlink" Target="https://optovikufa.ru/product/129927/lampa-svetodiodnaya-zerkalnaya-e14-r50-7vt-4000k-220v-feron/" TargetMode="External"/><Relationship Id="rId_hyperlink_4851" Type="http://schemas.openxmlformats.org/officeDocument/2006/relationships/hyperlink" Target="https://optovikufa.ru/product/236356/lampa-svetodiodnaya-zerkalnaya-e14-r50-7vt-6400k-220v-feron/" TargetMode="External"/><Relationship Id="rId_hyperlink_4852" Type="http://schemas.openxmlformats.org/officeDocument/2006/relationships/hyperlink" Target="https://optovikufa.ru/product/138237/lampa-svetodiodnaya-svecha-e14-7vt-2700k-220v-feron/" TargetMode="External"/><Relationship Id="rId_hyperlink_4853" Type="http://schemas.openxmlformats.org/officeDocument/2006/relationships/hyperlink" Target="https://optovikufa.ru/product/167719/lampa-svetodiodnaya-svecha-e14-7vt-2700k-220v-general/" TargetMode="External"/><Relationship Id="rId_hyperlink_4854" Type="http://schemas.openxmlformats.org/officeDocument/2006/relationships/hyperlink" Target="https://optovikufa.ru/product/184064/lampa-svetodiodnaya-svecha-e14-7vt-3000k-220v-smartbuy/" TargetMode="External"/><Relationship Id="rId_hyperlink_4855" Type="http://schemas.openxmlformats.org/officeDocument/2006/relationships/hyperlink" Target="https://optovikufa.ru/product/175085/lampa-svetodiodnaya-svecha-e14-7vt-4000k-220v-feron/" TargetMode="External"/><Relationship Id="rId_hyperlink_4856" Type="http://schemas.openxmlformats.org/officeDocument/2006/relationships/hyperlink" Target="https://optovikufa.ru/product/220957/lampa-svetodiodnaya-svecha-e14-7vt-6400k-220v-feron/" TargetMode="External"/><Relationship Id="rId_hyperlink_4857" Type="http://schemas.openxmlformats.org/officeDocument/2006/relationships/hyperlink" Target="https://optovikufa.ru/product/236111/lampa-svetodiodnaya-svecha-e14-7vt-6500k-220v-general/" TargetMode="External"/><Relationship Id="rId_hyperlink_4858" Type="http://schemas.openxmlformats.org/officeDocument/2006/relationships/hyperlink" Target="https://optovikufa.ru/product/183498/lampa-svetodiodnaya-svecha-e14-95vt-3000k-220v-smartbuy/" TargetMode="External"/><Relationship Id="rId_hyperlink_4859" Type="http://schemas.openxmlformats.org/officeDocument/2006/relationships/hyperlink" Target="https://optovikufa.ru/product/242144/lampa-svetodiodnaya-svecha-e14-9vt-2700k-220v-feron/" TargetMode="External"/><Relationship Id="rId_hyperlink_4860" Type="http://schemas.openxmlformats.org/officeDocument/2006/relationships/hyperlink" Target="https://optovikufa.ru/product/242146/lampa-svetodiodnaya-svecha-e14-9vt-4000k-220v-feron/" TargetMode="External"/><Relationship Id="rId_hyperlink_4861" Type="http://schemas.openxmlformats.org/officeDocument/2006/relationships/hyperlink" Target="https://optovikufa.ru/product/242145/lampa-svetodiodnaya-svecha-e14-9vt-6400k-220v-feron/" TargetMode="External"/><Relationship Id="rId_hyperlink_4862" Type="http://schemas.openxmlformats.org/officeDocument/2006/relationships/hyperlink" Target="https://optovikufa.ru/product/225208/lampa-svetodiodnaya-svecha-e14-10vt-2700k-220v-general/" TargetMode="External"/><Relationship Id="rId_hyperlink_4863" Type="http://schemas.openxmlformats.org/officeDocument/2006/relationships/hyperlink" Target="https://optovikufa.ru/product/230464/lampa-svetodiodnaya-svecha-e14-10vt-6500k-220v-general/" TargetMode="External"/><Relationship Id="rId_hyperlink_4864" Type="http://schemas.openxmlformats.org/officeDocument/2006/relationships/hyperlink" Target="https://optovikufa.ru/product/241759/lampa-svetodiodnaya-svecha-e14-11vt-4000k-220v-feron/" TargetMode="External"/><Relationship Id="rId_hyperlink_4865" Type="http://schemas.openxmlformats.org/officeDocument/2006/relationships/hyperlink" Target="https://optovikufa.ru/product/240131/lampa-svetodiodnaya-svecha-e14-11vt-6400k-220v-feron/" TargetMode="External"/><Relationship Id="rId_hyperlink_4866" Type="http://schemas.openxmlformats.org/officeDocument/2006/relationships/hyperlink" Target="https://optovikufa.ru/product/240133/lampa-svetodiodnaya-svecha-e14-13vt-2700k-220v-feron/" TargetMode="External"/><Relationship Id="rId_hyperlink_4867" Type="http://schemas.openxmlformats.org/officeDocument/2006/relationships/hyperlink" Target="https://optovikufa.ru/product/240134/lampa-svetodiodnaya-svecha-e14-13vt-4000k-220v-feron/" TargetMode="External"/><Relationship Id="rId_hyperlink_4868" Type="http://schemas.openxmlformats.org/officeDocument/2006/relationships/hyperlink" Target="https://optovikufa.ru/product/240132/lampa-svetodiodnaya-svecha-e14-13vt-6400k-220v-feron/" TargetMode="External"/><Relationship Id="rId_hyperlink_4869" Type="http://schemas.openxmlformats.org/officeDocument/2006/relationships/hyperlink" Target="https://optovikufa.ru/product/241353/lampa-svetodiodnaya-svecha-na-vetru-e14-13vt-6400k-220v-feron/" TargetMode="External"/><Relationship Id="rId_hyperlink_4870" Type="http://schemas.openxmlformats.org/officeDocument/2006/relationships/hyperlink" Target="https://optovikufa.ru/product/238346/lampa-svetodiodnaya-svecha-prozrachnaya-e14-8vt-4500k-220v-general-filament/" TargetMode="External"/><Relationship Id="rId_hyperlink_4871" Type="http://schemas.openxmlformats.org/officeDocument/2006/relationships/hyperlink" Target="https://optovikufa.ru/product/238343/lampa-svetodiodnaya-svecha-prozrachnaya-e14-12vt-6500k-220v-general-filament/" TargetMode="External"/><Relationship Id="rId_hyperlink_4872" Type="http://schemas.openxmlformats.org/officeDocument/2006/relationships/hyperlink" Target="https://optovikufa.ru/product/242148/lampa-svetodiodnaya-shar-e14-7vt-2700k-220v-feron/" TargetMode="External"/><Relationship Id="rId_hyperlink_4873" Type="http://schemas.openxmlformats.org/officeDocument/2006/relationships/hyperlink" Target="https://optovikufa.ru/product/242147/lampa-svetodiodnaya-shar-e14-7vt-4000k-220v-feron/" TargetMode="External"/><Relationship Id="rId_hyperlink_4874" Type="http://schemas.openxmlformats.org/officeDocument/2006/relationships/hyperlink" Target="https://optovikufa.ru/product/217400/lampa-svetodiodnaya-shar-e14-7vt-4500k-220v-general/" TargetMode="External"/><Relationship Id="rId_hyperlink_4875" Type="http://schemas.openxmlformats.org/officeDocument/2006/relationships/hyperlink" Target="https://optovikufa.ru/product/240135/lampa-svetodiodnaya-shar-e14-7vt-6400k-220v-feron/" TargetMode="External"/><Relationship Id="rId_hyperlink_4876" Type="http://schemas.openxmlformats.org/officeDocument/2006/relationships/hyperlink" Target="https://optovikufa.ru/product/225209/lampa-svetodiodnaya-shar-e14-7vt-6500k-220v-general/" TargetMode="External"/><Relationship Id="rId_hyperlink_4877" Type="http://schemas.openxmlformats.org/officeDocument/2006/relationships/hyperlink" Target="https://optovikufa.ru/product/167454/lampa-svetodiodnaya-shar-e14-85vt-3000k-220v-smartbuy/" TargetMode="External"/><Relationship Id="rId_hyperlink_4878" Type="http://schemas.openxmlformats.org/officeDocument/2006/relationships/hyperlink" Target="https://optovikufa.ru/product/125925/lampa-svetodiodnaya-shar-e14-95vt-3000k-220v-smartbuy/" TargetMode="External"/><Relationship Id="rId_hyperlink_4879" Type="http://schemas.openxmlformats.org/officeDocument/2006/relationships/hyperlink" Target="https://optovikufa.ru/product/240394/lampa-svetodiodnaya-shar-e14-9vt-4000k-220v-feron/" TargetMode="External"/><Relationship Id="rId_hyperlink_4880" Type="http://schemas.openxmlformats.org/officeDocument/2006/relationships/hyperlink" Target="https://optovikufa.ru/product/242150/lampa-svetodiodnaya-shar-e14-9vt-6400k-220v-feron/" TargetMode="External"/><Relationship Id="rId_hyperlink_4881" Type="http://schemas.openxmlformats.org/officeDocument/2006/relationships/hyperlink" Target="https://optovikufa.ru/product/223870/lampa-svetodiodnaya-shar-e14-10vt-2700k-220v-general/" TargetMode="External"/><Relationship Id="rId_hyperlink_4882" Type="http://schemas.openxmlformats.org/officeDocument/2006/relationships/hyperlink" Target="https://optovikufa.ru/product/169773/lampa-svetodiodnaya-shar-e14-10vt-4500k-220v-general/" TargetMode="External"/><Relationship Id="rId_hyperlink_4883" Type="http://schemas.openxmlformats.org/officeDocument/2006/relationships/hyperlink" Target="https://optovikufa.ru/product/223442/lampa-svetodiodnaya-shar-e14-10vt-6500k-220v-general/" TargetMode="External"/><Relationship Id="rId_hyperlink_4884" Type="http://schemas.openxmlformats.org/officeDocument/2006/relationships/hyperlink" Target="https://optovikufa.ru/product/240136/lampa-svetodiodnaya-shar-e14-11vt-6400k-220v-feron/" TargetMode="External"/><Relationship Id="rId_hyperlink_4885" Type="http://schemas.openxmlformats.org/officeDocument/2006/relationships/hyperlink" Target="https://optovikufa.ru/product/235999/lampa-svetodiodnaya-shar-e14-12vt-3000k-220v-smartbuy/" TargetMode="External"/><Relationship Id="rId_hyperlink_4886" Type="http://schemas.openxmlformats.org/officeDocument/2006/relationships/hyperlink" Target="https://optovikufa.ru/product/227972/lampa-svetodiodnaya-shar-e14-12vt-4500k-220v-general/" TargetMode="External"/><Relationship Id="rId_hyperlink_4887" Type="http://schemas.openxmlformats.org/officeDocument/2006/relationships/hyperlink" Target="https://optovikufa.ru/product/227973/lampa-svetodiodnaya-shar-e14-12vt-6500k-220v-general/" TargetMode="External"/><Relationship Id="rId_hyperlink_4888" Type="http://schemas.openxmlformats.org/officeDocument/2006/relationships/hyperlink" Target="https://optovikufa.ru/product/240139/lampa-svetodiodnaya-shar-e14-13vt-2700k-220v-feron/" TargetMode="External"/><Relationship Id="rId_hyperlink_4889" Type="http://schemas.openxmlformats.org/officeDocument/2006/relationships/hyperlink" Target="https://optovikufa.ru/product/240138/lampa-svetodiodnaya-shar-e14-13vt-4000k-220v-feron/" TargetMode="External"/><Relationship Id="rId_hyperlink_4890" Type="http://schemas.openxmlformats.org/officeDocument/2006/relationships/hyperlink" Target="https://optovikufa.ru/product/240137/lampa-svetodiodnaya-shar-e14-13vt-6400k-220v-feron/" TargetMode="External"/><Relationship Id="rId_hyperlink_4891" Type="http://schemas.openxmlformats.org/officeDocument/2006/relationships/hyperlink" Target="https://optovikufa.ru/product/241778/lampa-svetodiodnaya-shar-matovaya-e14-7vt-4500k-220v-general-filament/" TargetMode="External"/><Relationship Id="rId_hyperlink_4892" Type="http://schemas.openxmlformats.org/officeDocument/2006/relationships/hyperlink" Target="https://optovikufa.ru/product/240142/lampa-svetodiodnaya-a60-e27-7vt-2700k-220v-feron/" TargetMode="External"/><Relationship Id="rId_hyperlink_4893" Type="http://schemas.openxmlformats.org/officeDocument/2006/relationships/hyperlink" Target="https://optovikufa.ru/product/240141/lampa-svetodiodnaya-a60-e27-7vt-4000k-220v-feron/" TargetMode="External"/><Relationship Id="rId_hyperlink_4894" Type="http://schemas.openxmlformats.org/officeDocument/2006/relationships/hyperlink" Target="https://optovikufa.ru/product/240140/lampa-svetodiodnaya-a60-e27-7vt-6400k-220v-feron/" TargetMode="External"/><Relationship Id="rId_hyperlink_4895" Type="http://schemas.openxmlformats.org/officeDocument/2006/relationships/hyperlink" Target="https://optovikufa.ru/product/240145/lampa-svetodiodnaya-a60-e27-10vt-2700k-220v-feron/" TargetMode="External"/><Relationship Id="rId_hyperlink_4896" Type="http://schemas.openxmlformats.org/officeDocument/2006/relationships/hyperlink" Target="https://optovikufa.ru/product/240144/lampa-svetodiodnaya-a60-e27-10vt-4000k-220v-feron/" TargetMode="External"/><Relationship Id="rId_hyperlink_4897" Type="http://schemas.openxmlformats.org/officeDocument/2006/relationships/hyperlink" Target="https://optovikufa.ru/product/240143/lampa-svetodiodnaya-a60-e27-10vt-6400k-220v-feron/" TargetMode="External"/><Relationship Id="rId_hyperlink_4898" Type="http://schemas.openxmlformats.org/officeDocument/2006/relationships/hyperlink" Target="https://optovikufa.ru/product/226768/lampa-svetodiodnaya-a60-e27-11vt-2700k-220v-general/" TargetMode="External"/><Relationship Id="rId_hyperlink_4899" Type="http://schemas.openxmlformats.org/officeDocument/2006/relationships/hyperlink" Target="https://optovikufa.ru/product/184062/lampa-svetodiodnaya-a60-e27-11vt-3000k-220v-smartbuy/" TargetMode="External"/><Relationship Id="rId_hyperlink_4900" Type="http://schemas.openxmlformats.org/officeDocument/2006/relationships/hyperlink" Target="https://optovikufa.ru/product/169813/lampa-svetodiodnaya-a60-e27-11vt-4500k-220v-general/" TargetMode="External"/><Relationship Id="rId_hyperlink_4901" Type="http://schemas.openxmlformats.org/officeDocument/2006/relationships/hyperlink" Target="https://optovikufa.ru/product/224924/lampa-svetodiodnaya-a60-e27-11vt-6500k-220v-general/" TargetMode="External"/><Relationship Id="rId_hyperlink_4902" Type="http://schemas.openxmlformats.org/officeDocument/2006/relationships/hyperlink" Target="https://optovikufa.ru/product/240146/lampa-svetodiodnaya-a60-e27-12vt-2700k-220v-feron/" TargetMode="External"/><Relationship Id="rId_hyperlink_4903" Type="http://schemas.openxmlformats.org/officeDocument/2006/relationships/hyperlink" Target="https://optovikufa.ru/product/240147/lampa-svetodiodnaya-a60-e27-12vt-4000k-220v-feron/" TargetMode="External"/><Relationship Id="rId_hyperlink_4904" Type="http://schemas.openxmlformats.org/officeDocument/2006/relationships/hyperlink" Target="https://optovikufa.ru/product/240148/lampa-svetodiodnaya-a60-e27-12vt-6400k-220v-feron/" TargetMode="External"/><Relationship Id="rId_hyperlink_4905" Type="http://schemas.openxmlformats.org/officeDocument/2006/relationships/hyperlink" Target="https://optovikufa.ru/product/169814/lampa-svetodiodnaya-a60-e27-14vt-4500k-220v-general/" TargetMode="External"/><Relationship Id="rId_hyperlink_4906" Type="http://schemas.openxmlformats.org/officeDocument/2006/relationships/hyperlink" Target="https://optovikufa.ru/product/224925/lampa-svetodiodnaya-a60-e27-14vt-6500k-220v-general/" TargetMode="External"/><Relationship Id="rId_hyperlink_4907" Type="http://schemas.openxmlformats.org/officeDocument/2006/relationships/hyperlink" Target="https://optovikufa.ru/product/240151/lampa-svetodiodnaya-a60-e27-15vt-2700k-220v-feron/" TargetMode="External"/><Relationship Id="rId_hyperlink_4908" Type="http://schemas.openxmlformats.org/officeDocument/2006/relationships/hyperlink" Target="https://optovikufa.ru/product/240150/lampa-svetodiodnaya-a60-e27-15vt-4000k-220v-feron/" TargetMode="External"/><Relationship Id="rId_hyperlink_4909" Type="http://schemas.openxmlformats.org/officeDocument/2006/relationships/hyperlink" Target="https://optovikufa.ru/product/240149/lampa-svetodiodnaya-a60-e27-15vt-6400k-220v-feron/" TargetMode="External"/><Relationship Id="rId_hyperlink_4910" Type="http://schemas.openxmlformats.org/officeDocument/2006/relationships/hyperlink" Target="https://optovikufa.ru/product/230234/lampa-svetodiodnaya-a60-e27-17vt-2700k-220v-general/" TargetMode="External"/><Relationship Id="rId_hyperlink_4911" Type="http://schemas.openxmlformats.org/officeDocument/2006/relationships/hyperlink" Target="https://optovikufa.ru/product/169815/lampa-svetodiodnaya-a60-e27-17vt-4500k-220v-general/" TargetMode="External"/><Relationship Id="rId_hyperlink_4912" Type="http://schemas.openxmlformats.org/officeDocument/2006/relationships/hyperlink" Target="https://optovikufa.ru/product/169816/lampa-svetodiodnaya-a60-e27-20vt-4500k-220v-general/" TargetMode="External"/><Relationship Id="rId_hyperlink_4913" Type="http://schemas.openxmlformats.org/officeDocument/2006/relationships/hyperlink" Target="https://optovikufa.ru/product/224927/lampa-svetodiodnaya-a60-e27-20vt-6500k-220v-general/" TargetMode="External"/><Relationship Id="rId_hyperlink_4914" Type="http://schemas.openxmlformats.org/officeDocument/2006/relationships/hyperlink" Target="https://optovikufa.ru/product/167717/lampa-svetodiodnaya-a60-e27-25vt-4500k-220v-general/" TargetMode="External"/><Relationship Id="rId_hyperlink_4915" Type="http://schemas.openxmlformats.org/officeDocument/2006/relationships/hyperlink" Target="https://optovikufa.ru/product/224928/lampa-svetodiodnaya-a60-e27-25vt-6500k-220v-general/" TargetMode="External"/><Relationship Id="rId_hyperlink_4916" Type="http://schemas.openxmlformats.org/officeDocument/2006/relationships/hyperlink" Target="https://optovikufa.ru/product/240152/lampa-svetodiodnaya-a65-e27-20vt-2700k-220v-feron/" TargetMode="External"/><Relationship Id="rId_hyperlink_4917" Type="http://schemas.openxmlformats.org/officeDocument/2006/relationships/hyperlink" Target="https://optovikufa.ru/product/240153/lampa-svetodiodnaya-a65-e27-20vt-4000k-220v-feron/" TargetMode="External"/><Relationship Id="rId_hyperlink_4918" Type="http://schemas.openxmlformats.org/officeDocument/2006/relationships/hyperlink" Target="https://optovikufa.ru/product/240154/lampa-svetodiodnaya-a65-e27-20vt-6400k-220v-feron/" TargetMode="External"/><Relationship Id="rId_hyperlink_4919" Type="http://schemas.openxmlformats.org/officeDocument/2006/relationships/hyperlink" Target="https://optovikufa.ru/product/229525/lampa-svetodiodnaya-a65-e27-25vt-3000k-220v-smartbuy/" TargetMode="External"/><Relationship Id="rId_hyperlink_4920" Type="http://schemas.openxmlformats.org/officeDocument/2006/relationships/hyperlink" Target="https://optovikufa.ru/product/240156/lampa-svetodiodnaya-a65-e27-25vt-4000k-220v-feron/" TargetMode="External"/><Relationship Id="rId_hyperlink_4921" Type="http://schemas.openxmlformats.org/officeDocument/2006/relationships/hyperlink" Target="https://optovikufa.ru/product/240155/lampa-svetodiodnaya-a65-e27-25vt-6400k-220v-feron/" TargetMode="External"/><Relationship Id="rId_hyperlink_4922" Type="http://schemas.openxmlformats.org/officeDocument/2006/relationships/hyperlink" Target="https://optovikufa.ru/product/240159/lampa-svetodiodnaya-hp-e27e40-30vt-4000k-220v-feron/" TargetMode="External"/><Relationship Id="rId_hyperlink_4923" Type="http://schemas.openxmlformats.org/officeDocument/2006/relationships/hyperlink" Target="https://optovikufa.ru/product/240158/lampa-svetodiodnaya-hp-e27e40-30vt-6400k-220v-feron/" TargetMode="External"/><Relationship Id="rId_hyperlink_4924" Type="http://schemas.openxmlformats.org/officeDocument/2006/relationships/hyperlink" Target="https://optovikufa.ru/product/240160/lampa-svetodiodnaya-hp-e27e40-40vt-6400k-220v-feron/" TargetMode="External"/><Relationship Id="rId_hyperlink_4925" Type="http://schemas.openxmlformats.org/officeDocument/2006/relationships/hyperlink" Target="https://optovikufa.ru/product/240161/lampa-svetodiodnaya-hp-e27e40-50vt-6400k-220v-feron/" TargetMode="External"/><Relationship Id="rId_hyperlink_4926" Type="http://schemas.openxmlformats.org/officeDocument/2006/relationships/hyperlink" Target="https://optovikufa.ru/product/240162/lampa-svetodiodnaya-hp-e27e40-60vt-6400k-220v-feron/" TargetMode="External"/><Relationship Id="rId_hyperlink_4927" Type="http://schemas.openxmlformats.org/officeDocument/2006/relationships/hyperlink" Target="https://optovikufa.ru/product/240163/lampa-svetodiodnaya-hp-e27e40-70vt-6400k-220v-feron/" TargetMode="External"/><Relationship Id="rId_hyperlink_4928" Type="http://schemas.openxmlformats.org/officeDocument/2006/relationships/hyperlink" Target="https://optovikufa.ru/product/170208/lampa-svetodiodnaya-hp-e27e40-100vt-4000k-220v-smartbuy/" TargetMode="External"/><Relationship Id="rId_hyperlink_4929" Type="http://schemas.openxmlformats.org/officeDocument/2006/relationships/hyperlink" Target="https://optovikufa.ru/product/240164/lampa-svetodiodnaya-hp-e27e40-100vt-6400k-220v-feron/" TargetMode="External"/><Relationship Id="rId_hyperlink_4930" Type="http://schemas.openxmlformats.org/officeDocument/2006/relationships/hyperlink" Target="https://optovikufa.ru/product/240181/lampa-svetodiodnaya-zerkalnaya-e27-r63-11vt-2700k-230v-feron/" TargetMode="External"/><Relationship Id="rId_hyperlink_4931" Type="http://schemas.openxmlformats.org/officeDocument/2006/relationships/hyperlink" Target="https://optovikufa.ru/product/241845/lampa-svetodiodnaya-zerkalnaya-e27-r63-11vt-4000k-230v-feron/" TargetMode="External"/><Relationship Id="rId_hyperlink_4932" Type="http://schemas.openxmlformats.org/officeDocument/2006/relationships/hyperlink" Target="https://optovikufa.ru/product/191528/lampa-svetodiodnaya-svecha-e27-5vt-3000k-220v-smartbuy/" TargetMode="External"/><Relationship Id="rId_hyperlink_4933" Type="http://schemas.openxmlformats.org/officeDocument/2006/relationships/hyperlink" Target="https://optovikufa.ru/product/129928/lampa-svetodiodnaya-svecha-e27-7vt-2700k-220v-feron/" TargetMode="External"/><Relationship Id="rId_hyperlink_4934" Type="http://schemas.openxmlformats.org/officeDocument/2006/relationships/hyperlink" Target="https://optovikufa.ru/product/129924/lampa-svetodiodnaya-svecha-e27-7vt-4000k-220v-feron/" TargetMode="External"/><Relationship Id="rId_hyperlink_4935" Type="http://schemas.openxmlformats.org/officeDocument/2006/relationships/hyperlink" Target="https://optovikufa.ru/product/169822/lampa-svetodiodnaya-svecha-e27-7vt-4500k-220v-general/" TargetMode="External"/><Relationship Id="rId_hyperlink_4936" Type="http://schemas.openxmlformats.org/officeDocument/2006/relationships/hyperlink" Target="https://optovikufa.ru/product/129926/lampa-svetodiodnaya-svecha-e27-7vt-6400k-220v-feron/" TargetMode="External"/><Relationship Id="rId_hyperlink_4937" Type="http://schemas.openxmlformats.org/officeDocument/2006/relationships/hyperlink" Target="https://optovikufa.ru/product/229556/lampa-svetodiodnaya-svecha-e27-7vt-6500k-220v-general/" TargetMode="External"/><Relationship Id="rId_hyperlink_4938" Type="http://schemas.openxmlformats.org/officeDocument/2006/relationships/hyperlink" Target="https://optovikufa.ru/product/183501/lampa-svetodiodnaya-svecha-e27-95vt-3000k-220v-smartbuy/" TargetMode="External"/><Relationship Id="rId_hyperlink_4939" Type="http://schemas.openxmlformats.org/officeDocument/2006/relationships/hyperlink" Target="https://optovikufa.ru/product/220953/lampa-svetodiodnaya-svecha-e27-10vt-2700k-220v-general/" TargetMode="External"/><Relationship Id="rId_hyperlink_4940" Type="http://schemas.openxmlformats.org/officeDocument/2006/relationships/hyperlink" Target="https://optovikufa.ru/product/169818/lampa-svetodiodnaya-svecha-e27-10vt-4500k-220v-general/" TargetMode="External"/><Relationship Id="rId_hyperlink_4941" Type="http://schemas.openxmlformats.org/officeDocument/2006/relationships/hyperlink" Target="https://optovikufa.ru/product/224920/lampa-svetodiodnaya-svecha-e27-10vt-6500k-220v-general/" TargetMode="External"/><Relationship Id="rId_hyperlink_4942" Type="http://schemas.openxmlformats.org/officeDocument/2006/relationships/hyperlink" Target="https://optovikufa.ru/product/233822/lampa-svetodiodnaya-svecha-e27-12vt-3000k-220v-smartbuy/" TargetMode="External"/><Relationship Id="rId_hyperlink_4943" Type="http://schemas.openxmlformats.org/officeDocument/2006/relationships/hyperlink" Target="https://optovikufa.ru/product/240165/lampa-svetodiodnaya-svecha-e27-13vt-2700k-220v-feron/" TargetMode="External"/><Relationship Id="rId_hyperlink_4944" Type="http://schemas.openxmlformats.org/officeDocument/2006/relationships/hyperlink" Target="https://optovikufa.ru/product/240166/lampa-svetodiodnaya-svecha-e27-13vt-4000k-220v-feron/" TargetMode="External"/><Relationship Id="rId_hyperlink_4945" Type="http://schemas.openxmlformats.org/officeDocument/2006/relationships/hyperlink" Target="https://optovikufa.ru/product/240167/lampa-svetodiodnaya-svecha-e27-13vt-6400k-220v-feron/" TargetMode="External"/><Relationship Id="rId_hyperlink_4946" Type="http://schemas.openxmlformats.org/officeDocument/2006/relationships/hyperlink" Target="https://optovikufa.ru/product/238344/lampa-svetodiodnaya-svecha-prozrachnaya-e27-12vt-6500k-220v-general-filament/" TargetMode="External"/><Relationship Id="rId_hyperlink_4947" Type="http://schemas.openxmlformats.org/officeDocument/2006/relationships/hyperlink" Target="https://optovikufa.ru/product/242927/lampa-svetodiodnaya-shar-e27-5vt-2700k-220v-feron/" TargetMode="External"/><Relationship Id="rId_hyperlink_4948" Type="http://schemas.openxmlformats.org/officeDocument/2006/relationships/hyperlink" Target="https://optovikufa.ru/product/242741/lampa-svetodiodnaya-shar-e27-5vt-4000k-220v-feron/" TargetMode="External"/><Relationship Id="rId_hyperlink_4949" Type="http://schemas.openxmlformats.org/officeDocument/2006/relationships/hyperlink" Target="https://optovikufa.ru/product/240170/lampa-svetodiodnaya-shar-e27-7vt-2700k-220v-feron/" TargetMode="External"/><Relationship Id="rId_hyperlink_4950" Type="http://schemas.openxmlformats.org/officeDocument/2006/relationships/hyperlink" Target="https://optovikufa.ru/product/240169/lampa-svetodiodnaya-shar-e27-7vt-4000k-220v-feron/" TargetMode="External"/><Relationship Id="rId_hyperlink_4951" Type="http://schemas.openxmlformats.org/officeDocument/2006/relationships/hyperlink" Target="https://optovikufa.ru/product/169776/lampa-svetodiodnaya-shar-e27-7vt-4500k-220v-general/" TargetMode="External"/><Relationship Id="rId_hyperlink_4952" Type="http://schemas.openxmlformats.org/officeDocument/2006/relationships/hyperlink" Target="https://optovikufa.ru/product/240168/lampa-svetodiodnaya-shar-e27-7vt-6400k-220v-feron/" TargetMode="External"/><Relationship Id="rId_hyperlink_4953" Type="http://schemas.openxmlformats.org/officeDocument/2006/relationships/hyperlink" Target="https://optovikufa.ru/product/225062/lampa-svetodiodnaya-shar-e27-7vt-6500k-220v-general/" TargetMode="External"/><Relationship Id="rId_hyperlink_4954" Type="http://schemas.openxmlformats.org/officeDocument/2006/relationships/hyperlink" Target="https://optovikufa.ru/product/240171/lampa-svetodiodnaya-shar-e27-9vt-2700k-220v-feron/" TargetMode="External"/><Relationship Id="rId_hyperlink_4955" Type="http://schemas.openxmlformats.org/officeDocument/2006/relationships/hyperlink" Target="https://optovikufa.ru/product/240172/lampa-svetodiodnaya-shar-e27-9vt-4000k-220v-feron/" TargetMode="External"/><Relationship Id="rId_hyperlink_4956" Type="http://schemas.openxmlformats.org/officeDocument/2006/relationships/hyperlink" Target="https://optovikufa.ru/product/240173/lampa-svetodiodnaya-shar-e27-9vt-6400k-220v-feron/" TargetMode="External"/><Relationship Id="rId_hyperlink_4957" Type="http://schemas.openxmlformats.org/officeDocument/2006/relationships/hyperlink" Target="https://optovikufa.ru/product/169775/lampa-svetodiodnaya-shar-e27-10vt-4500k-220v-general/" TargetMode="External"/><Relationship Id="rId_hyperlink_4958" Type="http://schemas.openxmlformats.org/officeDocument/2006/relationships/hyperlink" Target="https://optovikufa.ru/product/224422/lampa-svetodiodnaya-shar-e27-10vt-6500k-220v-general/" TargetMode="External"/><Relationship Id="rId_hyperlink_4959" Type="http://schemas.openxmlformats.org/officeDocument/2006/relationships/hyperlink" Target="https://optovikufa.ru/product/225026/lampa-svetodiodnaya-shar-e27-12vt-4000k-220v-smartbuy/" TargetMode="External"/><Relationship Id="rId_hyperlink_4960" Type="http://schemas.openxmlformats.org/officeDocument/2006/relationships/hyperlink" Target="https://optovikufa.ru/product/240176/lampa-svetodiodnaya-shar-e27-13vt-2700k-220v-feron/" TargetMode="External"/><Relationship Id="rId_hyperlink_4961" Type="http://schemas.openxmlformats.org/officeDocument/2006/relationships/hyperlink" Target="https://optovikufa.ru/product/240175/lampa-svetodiodnaya-shar-e27-13vt-4000k-220v-feron/" TargetMode="External"/><Relationship Id="rId_hyperlink_4962" Type="http://schemas.openxmlformats.org/officeDocument/2006/relationships/hyperlink" Target="https://optovikufa.ru/product/240174/lampa-svetodiodnaya-shar-e27-13vt-6400k-220v-feron/" TargetMode="External"/><Relationship Id="rId_hyperlink_4963" Type="http://schemas.openxmlformats.org/officeDocument/2006/relationships/hyperlink" Target="https://optovikufa.ru/product/240178/lampa-svetodiodnaya-g13-t8-600mm-10vt-6400k-230v-feron/" TargetMode="External"/><Relationship Id="rId_hyperlink_4964" Type="http://schemas.openxmlformats.org/officeDocument/2006/relationships/hyperlink" Target="https://optovikufa.ru/product/231336/lampa-svetodiodnaya-g13-t8-600mm-14vt-6500k-220v-ecola-premium/" TargetMode="External"/><Relationship Id="rId_hyperlink_4965" Type="http://schemas.openxmlformats.org/officeDocument/2006/relationships/hyperlink" Target="https://optovikufa.ru/product/240180/lampa-svetodiodnaya-g13-t8-900mm-14vt-6500k-230v-jazzway/" TargetMode="External"/><Relationship Id="rId_hyperlink_4966" Type="http://schemas.openxmlformats.org/officeDocument/2006/relationships/hyperlink" Target="https://optovikufa.ru/product/240177/lampa-svetodiodnaya-g13-t8-1200mm-18vt-6400k-230v-feron/" TargetMode="External"/><Relationship Id="rId_hyperlink_4967" Type="http://schemas.openxmlformats.org/officeDocument/2006/relationships/hyperlink" Target="https://optovikufa.ru/product/233912/lampa-svetodiodnaya-g13-t8-1200mm-22vt-6500k-220v-ecola-premium-povorotnyy-cokol-prozrachnaya/" TargetMode="External"/><Relationship Id="rId_hyperlink_4968" Type="http://schemas.openxmlformats.org/officeDocument/2006/relationships/hyperlink" Target="https://optovikufa.ru/product/240179/lampa-svetodiodnaya-g13-t8-1500mm-24vt-6400k-230v-feron/" TargetMode="External"/><Relationship Id="rId_hyperlink_4969" Type="http://schemas.openxmlformats.org/officeDocument/2006/relationships/hyperlink" Target="https://optovikufa.ru/product/240182/lampa-svetodiodnaya-g4-12v-2vt-2700k-feron/" TargetMode="External"/><Relationship Id="rId_hyperlink_4970" Type="http://schemas.openxmlformats.org/officeDocument/2006/relationships/hyperlink" Target="https://optovikufa.ru/product/240183/lampa-svetodiodnaya-g4-12v-2vt-4000k-feron/" TargetMode="External"/><Relationship Id="rId_hyperlink_4971" Type="http://schemas.openxmlformats.org/officeDocument/2006/relationships/hyperlink" Target="https://optovikufa.ru/product/240184/lampa-svetodiodnaya-g4-12v-2vt-6400k-feron/" TargetMode="External"/><Relationship Id="rId_hyperlink_4972" Type="http://schemas.openxmlformats.org/officeDocument/2006/relationships/hyperlink" Target="https://optovikufa.ru/product/146329/lampa-svetodiodnaya-g4-12v-35vt-4000k-smartbuy/" TargetMode="External"/><Relationship Id="rId_hyperlink_4973" Type="http://schemas.openxmlformats.org/officeDocument/2006/relationships/hyperlink" Target="https://optovikufa.ru/product/146330/lampa-svetodiodnaya-g4-12v-35vt-6400k-smartbuy/" TargetMode="External"/><Relationship Id="rId_hyperlink_4974" Type="http://schemas.openxmlformats.org/officeDocument/2006/relationships/hyperlink" Target="https://optovikufa.ru/product/240894/lampa-svetodiodnaya-g4-12v-3vt-2700k-feron-silikon/" TargetMode="External"/><Relationship Id="rId_hyperlink_4975" Type="http://schemas.openxmlformats.org/officeDocument/2006/relationships/hyperlink" Target="https://optovikufa.ru/product/240479/lampa-svetodiodnaya-g4-12v-3vt-4000k-feron-silikon/" TargetMode="External"/><Relationship Id="rId_hyperlink_4976" Type="http://schemas.openxmlformats.org/officeDocument/2006/relationships/hyperlink" Target="https://optovikufa.ru/product/158997/lampa-svetodiodnaya-g4-12v-3vt-4500k-general-silikon-cob/" TargetMode="External"/><Relationship Id="rId_hyperlink_4977" Type="http://schemas.openxmlformats.org/officeDocument/2006/relationships/hyperlink" Target="https://optovikufa.ru/product/240478/lampa-svetodiodnaya-g4-12v-3vt-6400k-feron-silikon/" TargetMode="External"/><Relationship Id="rId_hyperlink_4978" Type="http://schemas.openxmlformats.org/officeDocument/2006/relationships/hyperlink" Target="https://optovikufa.ru/product/149104/lampa-svetodiodnaya-g4-12v-45vt-3000k-smartbuy/" TargetMode="External"/><Relationship Id="rId_hyperlink_4979" Type="http://schemas.openxmlformats.org/officeDocument/2006/relationships/hyperlink" Target="https://optovikufa.ru/product/149105/lampa-svetodiodnaya-g4-12v-45vt-4000k-smartbuy/" TargetMode="External"/><Relationship Id="rId_hyperlink_4980" Type="http://schemas.openxmlformats.org/officeDocument/2006/relationships/hyperlink" Target="https://optovikufa.ru/product/169799/lampa-svetodiodnaya-g4-12v-5vt-4500k-general-plastik-prozrachnyy/" TargetMode="External"/><Relationship Id="rId_hyperlink_4981" Type="http://schemas.openxmlformats.org/officeDocument/2006/relationships/hyperlink" Target="https://optovikufa.ru/product/242885/lampa-svetodiodnaya-g4-12v-5vt-6000k-smartbuy-sbl-g4-5-60k/" TargetMode="External"/><Relationship Id="rId_hyperlink_4982" Type="http://schemas.openxmlformats.org/officeDocument/2006/relationships/hyperlink" Target="https://optovikufa.ru/product/220967/lampa-svetodiodnaya-g4-230v-3vt-4500k-general-golden/" TargetMode="External"/><Relationship Id="rId_hyperlink_4983" Type="http://schemas.openxmlformats.org/officeDocument/2006/relationships/hyperlink" Target="https://optovikufa.ru/product/240480/lampa-svetodiodnaya-g4-230v-5vt-6400k-feron-kukuruza-plastik/" TargetMode="External"/><Relationship Id="rId_hyperlink_4984" Type="http://schemas.openxmlformats.org/officeDocument/2006/relationships/hyperlink" Target="https://optovikufa.ru/product/240485/lampa-svetodiodnaya-g4-230v-7vt-4000k-feron-kukuruza-plastik/" TargetMode="External"/><Relationship Id="rId_hyperlink_4985" Type="http://schemas.openxmlformats.org/officeDocument/2006/relationships/hyperlink" Target="https://optovikufa.ru/product/240484/lampa-svetodiodnaya-g4-230v-7vt-6400k-feron-kukuruza-plastik/" TargetMode="External"/><Relationship Id="rId_hyperlink_4986" Type="http://schemas.openxmlformats.org/officeDocument/2006/relationships/hyperlink" Target="https://optovikufa.ru/product/126471/lampa-svetodiodnaya-g9-230v-4vt-4000k-smartbuy/" TargetMode="External"/><Relationship Id="rId_hyperlink_4987" Type="http://schemas.openxmlformats.org/officeDocument/2006/relationships/hyperlink" Target="https://optovikufa.ru/product/149107/lampa-svetodiodnaya-g9-230v-4vt-6400k-smartbuy/" TargetMode="External"/><Relationship Id="rId_hyperlink_4988" Type="http://schemas.openxmlformats.org/officeDocument/2006/relationships/hyperlink" Target="https://optovikufa.ru/product/149108/lampa-svetodiodnaya-g9-230v-55vt-3000k-smartbuy/" TargetMode="External"/><Relationship Id="rId_hyperlink_4989" Type="http://schemas.openxmlformats.org/officeDocument/2006/relationships/hyperlink" Target="https://optovikufa.ru/product/149109/lampa-svetodiodnaya-g9-230v-55vt-4000k-smartbuy/" TargetMode="External"/><Relationship Id="rId_hyperlink_4990" Type="http://schemas.openxmlformats.org/officeDocument/2006/relationships/hyperlink" Target="https://optovikufa.ru/product/240206/lampa-svetodiodnaya-g9-230v-5vt-2700k-feron-kukuruza-plastik/" TargetMode="External"/><Relationship Id="rId_hyperlink_4991" Type="http://schemas.openxmlformats.org/officeDocument/2006/relationships/hyperlink" Target="https://optovikufa.ru/product/240914/lampa-svetodiodnaya-g9-230v-5vt-2700k-feron-matovaya/" TargetMode="External"/><Relationship Id="rId_hyperlink_4992" Type="http://schemas.openxmlformats.org/officeDocument/2006/relationships/hyperlink" Target="https://optovikufa.ru/product/239635/lampa-svetodiodnaya-g9-230v-5vt-2800k-ecola/" TargetMode="External"/><Relationship Id="rId_hyperlink_4993" Type="http://schemas.openxmlformats.org/officeDocument/2006/relationships/hyperlink" Target="https://optovikufa.ru/product/240491/lampa-svetodiodnaya-g9-230v-5vt-4000k-feron-kukuruza-plastik/" TargetMode="External"/><Relationship Id="rId_hyperlink_4994" Type="http://schemas.openxmlformats.org/officeDocument/2006/relationships/hyperlink" Target="https://optovikufa.ru/product/240483/lampa-svetodiodnaya-g9-230v-5vt-4000k-feron-matovaya/" TargetMode="External"/><Relationship Id="rId_hyperlink_4995" Type="http://schemas.openxmlformats.org/officeDocument/2006/relationships/hyperlink" Target="https://optovikufa.ru/product/239636/lampa-svetodiodnaya-g9-230v-5vt-4200k-ecola/" TargetMode="External"/><Relationship Id="rId_hyperlink_4996" Type="http://schemas.openxmlformats.org/officeDocument/2006/relationships/hyperlink" Target="https://optovikufa.ru/product/220958/lampa-svetodiodnaya-g9-230v-5vt-4500k-general-plastik/" TargetMode="External"/><Relationship Id="rId_hyperlink_4997" Type="http://schemas.openxmlformats.org/officeDocument/2006/relationships/hyperlink" Target="https://optovikufa.ru/product/240490/lampa-svetodiodnaya-g9-230v-5vt-6400k-feron-kukuruza-plastik/" TargetMode="External"/><Relationship Id="rId_hyperlink_4998" Type="http://schemas.openxmlformats.org/officeDocument/2006/relationships/hyperlink" Target="https://optovikufa.ru/product/240482/lampa-svetodiodnaya-g9-230v-5vt-6400k-feron-matovaya/" TargetMode="External"/><Relationship Id="rId_hyperlink_4999" Type="http://schemas.openxmlformats.org/officeDocument/2006/relationships/hyperlink" Target="https://optovikufa.ru/product/240211/lampa-svetodiodnaya-g9-230v-7vt-2700k-feron-kukuruza-plastik/" TargetMode="External"/><Relationship Id="rId_hyperlink_5000" Type="http://schemas.openxmlformats.org/officeDocument/2006/relationships/hyperlink" Target="https://optovikufa.ru/product/240915/lampa-svetodiodnaya-g9-230v-7vt-2700k-feron-matovaya/" TargetMode="External"/><Relationship Id="rId_hyperlink_5001" Type="http://schemas.openxmlformats.org/officeDocument/2006/relationships/hyperlink" Target="https://optovikufa.ru/product/221985/lampa-svetodiodnaya-g9-230v-7vt-2700k-general-plastik/" TargetMode="External"/><Relationship Id="rId_hyperlink_5002" Type="http://schemas.openxmlformats.org/officeDocument/2006/relationships/hyperlink" Target="https://optovikufa.ru/product/239638/lampa-svetodiodnaya-g9-230v-7vt-2800k-ecola/" TargetMode="External"/><Relationship Id="rId_hyperlink_5003" Type="http://schemas.openxmlformats.org/officeDocument/2006/relationships/hyperlink" Target="https://optovikufa.ru/product/240493/lampa-svetodiodnaya-g9-230v-7vt-4000k-feron-kukuruza-plastik/" TargetMode="External"/><Relationship Id="rId_hyperlink_5004" Type="http://schemas.openxmlformats.org/officeDocument/2006/relationships/hyperlink" Target="https://optovikufa.ru/product/240487/lampa-svetodiodnaya-g9-230v-7vt-4000k-feron-matovaya/" TargetMode="External"/><Relationship Id="rId_hyperlink_5005" Type="http://schemas.openxmlformats.org/officeDocument/2006/relationships/hyperlink" Target="https://optovikufa.ru/product/239634/lampa-svetodiodnaya-g9-230v-7vt-4200k-ecola/" TargetMode="External"/><Relationship Id="rId_hyperlink_5006" Type="http://schemas.openxmlformats.org/officeDocument/2006/relationships/hyperlink" Target="https://optovikufa.ru/product/221382/lampa-svetodiodnaya-g9-230v-7vt-4500k-general-plastik/" TargetMode="External"/><Relationship Id="rId_hyperlink_5007" Type="http://schemas.openxmlformats.org/officeDocument/2006/relationships/hyperlink" Target="https://optovikufa.ru/product/240492/lampa-svetodiodnaya-g9-230v-7vt-6400k-feron-kukuruza-plastik/" TargetMode="External"/><Relationship Id="rId_hyperlink_5008" Type="http://schemas.openxmlformats.org/officeDocument/2006/relationships/hyperlink" Target="https://optovikufa.ru/product/164598/lampa-svetodiodnaya-gu10-220v-9vt-2700k-feron/" TargetMode="External"/><Relationship Id="rId_hyperlink_5009" Type="http://schemas.openxmlformats.org/officeDocument/2006/relationships/hyperlink" Target="https://optovikufa.ru/product/129833/lampa-svetodiodnaya-gu10-220v-11vt-2700k-feron/" TargetMode="External"/><Relationship Id="rId_hyperlink_5010" Type="http://schemas.openxmlformats.org/officeDocument/2006/relationships/hyperlink" Target="https://optovikufa.ru/product/131445/lampa-svetodiodnaya-gu10-220v-11vt-4000k-feron/" TargetMode="External"/><Relationship Id="rId_hyperlink_5011" Type="http://schemas.openxmlformats.org/officeDocument/2006/relationships/hyperlink" Target="https://optovikufa.ru/product/151788/lampa-svetodiodnaya-gu10-220v-11vt-6400k-feron/" TargetMode="External"/><Relationship Id="rId_hyperlink_5012" Type="http://schemas.openxmlformats.org/officeDocument/2006/relationships/hyperlink" Target="https://optovikufa.ru/product/149111/lampa-svetodiodnaya-gu53-12v-7vt-3000k-smartbuy/" TargetMode="External"/><Relationship Id="rId_hyperlink_5013" Type="http://schemas.openxmlformats.org/officeDocument/2006/relationships/hyperlink" Target="https://optovikufa.ru/product/149112/lampa-svetodiodnaya-gu53-12v-7vt-4000k-smartbuy/" TargetMode="External"/><Relationship Id="rId_hyperlink_5014" Type="http://schemas.openxmlformats.org/officeDocument/2006/relationships/hyperlink" Target="https://optovikufa.ru/product/242423/lampa-svetodiodnaya-gu53-230v-7vt-2700k-feron-teplyy-svet/" TargetMode="External"/><Relationship Id="rId_hyperlink_5015" Type="http://schemas.openxmlformats.org/officeDocument/2006/relationships/hyperlink" Target="https://optovikufa.ru/product/241847/lampa-svetodiodnaya-gu53-230v-7vt-4000k-feron-belyy-svet/" TargetMode="External"/><Relationship Id="rId_hyperlink_5016" Type="http://schemas.openxmlformats.org/officeDocument/2006/relationships/hyperlink" Target="https://optovikufa.ru/product/241848/lampa-svetodiodnaya-gu53-230v-7vt-6400k-feron-dnevnoy-svet/" TargetMode="External"/><Relationship Id="rId_hyperlink_5017" Type="http://schemas.openxmlformats.org/officeDocument/2006/relationships/hyperlink" Target="https://optovikufa.ru/product/224423/lampa-svetodiodnaya-gu53-230v-7vt-6500k-general/" TargetMode="External"/><Relationship Id="rId_hyperlink_5018" Type="http://schemas.openxmlformats.org/officeDocument/2006/relationships/hyperlink" Target="https://optovikufa.ru/product/125923/lampa-svetodiodnaya-gu53-230v-95vt-3000k-smartbuy/" TargetMode="External"/><Relationship Id="rId_hyperlink_5019" Type="http://schemas.openxmlformats.org/officeDocument/2006/relationships/hyperlink" Target="https://optovikufa.ru/product/241917/lampa-svetodiodnaya-gu53-230v-9vt-4000k-feron-belyy-svet/" TargetMode="External"/><Relationship Id="rId_hyperlink_5020" Type="http://schemas.openxmlformats.org/officeDocument/2006/relationships/hyperlink" Target="https://optovikufa.ru/product/241916/lampa-svetodiodnaya-gu53-230v-9vt-6400k-feron-dnevnoy-svet/" TargetMode="External"/><Relationship Id="rId_hyperlink_5021" Type="http://schemas.openxmlformats.org/officeDocument/2006/relationships/hyperlink" Target="https://optovikufa.ru/product/224922/lampa-svetodiodnaya-gu53-230v-10vt-6500k-general/" TargetMode="External"/><Relationship Id="rId_hyperlink_5022" Type="http://schemas.openxmlformats.org/officeDocument/2006/relationships/hyperlink" Target="https://optovikufa.ru/product/229527/lampa-svetodiodnaya-gu53-230v-12vt-3000k-smartbuy/" TargetMode="External"/><Relationship Id="rId_hyperlink_5023" Type="http://schemas.openxmlformats.org/officeDocument/2006/relationships/hyperlink" Target="https://optovikufa.ru/product/228331/lampa-svetodiodnaya-gu53-230v-12vt-4000k-smartbuy/" TargetMode="External"/><Relationship Id="rId_hyperlink_5024" Type="http://schemas.openxmlformats.org/officeDocument/2006/relationships/hyperlink" Target="https://optovikufa.ru/product/242442/lampa-svetodiodnaya-gu53-230v-13vt-2700k-feron-teplyy-svet/" TargetMode="External"/><Relationship Id="rId_hyperlink_5025" Type="http://schemas.openxmlformats.org/officeDocument/2006/relationships/hyperlink" Target="https://optovikufa.ru/product/242440/lampa-svetodiodnaya-gu53-230v-13vt-4000k-feron-belyy-svet/" TargetMode="External"/><Relationship Id="rId_hyperlink_5026" Type="http://schemas.openxmlformats.org/officeDocument/2006/relationships/hyperlink" Target="https://optovikufa.ru/product/242441/lampa-svetodiodnaya-gu53-230v-13vt-6400k-feron-dnevnoy-svet/" TargetMode="External"/><Relationship Id="rId_hyperlink_5027" Type="http://schemas.openxmlformats.org/officeDocument/2006/relationships/hyperlink" Target="https://optovikufa.ru/product/240705/lampa-svetodiodnaya-gu53-230v-15vt-4500k-general/" TargetMode="External"/><Relationship Id="rId_hyperlink_5028" Type="http://schemas.openxmlformats.org/officeDocument/2006/relationships/hyperlink" Target="https://optovikufa.ru/product/240649/lampa-svetodiodnaya-gx53-220v-7vt-4000k-feron/" TargetMode="External"/><Relationship Id="rId_hyperlink_5029" Type="http://schemas.openxmlformats.org/officeDocument/2006/relationships/hyperlink" Target="https://optovikufa.ru/product/223441/lampa-svetodiodnaya-gx53-220v-7vt-4500k-general/" TargetMode="External"/><Relationship Id="rId_hyperlink_5030" Type="http://schemas.openxmlformats.org/officeDocument/2006/relationships/hyperlink" Target="https://optovikufa.ru/product/236380/lampa-svetodiodnaya-gx53-220v-7vt-6500k-general/" TargetMode="External"/><Relationship Id="rId_hyperlink_5031" Type="http://schemas.openxmlformats.org/officeDocument/2006/relationships/hyperlink" Target="https://optovikufa.ru/product/228093/lampa-svetodiodnaya-gx53-220v-8vt-2800k-matovoe-steklo-ecola-light/" TargetMode="External"/><Relationship Id="rId_hyperlink_5032" Type="http://schemas.openxmlformats.org/officeDocument/2006/relationships/hyperlink" Target="https://optovikufa.ru/product/236396/lampa-svetodiodnaya-gx53-220v-8vt-4000k-onlayt/" TargetMode="External"/><Relationship Id="rId_hyperlink_5033" Type="http://schemas.openxmlformats.org/officeDocument/2006/relationships/hyperlink" Target="https://optovikufa.ru/product/233946/lampa-svetodiodnaya-gx53-220v-8vt-4200k-matovoe-steklo-ecola-light/" TargetMode="External"/><Relationship Id="rId_hyperlink_5034" Type="http://schemas.openxmlformats.org/officeDocument/2006/relationships/hyperlink" Target="https://optovikufa.ru/product/228095/lampa-svetodiodnaya-gx53-220v-8vt-6400k-ecola-light/" TargetMode="External"/><Relationship Id="rId_hyperlink_5035" Type="http://schemas.openxmlformats.org/officeDocument/2006/relationships/hyperlink" Target="https://optovikufa.ru/product/240213/lampa-svetodiodnaya-gx53-220v-9vt-2700k-feron/" TargetMode="External"/><Relationship Id="rId_hyperlink_5036" Type="http://schemas.openxmlformats.org/officeDocument/2006/relationships/hyperlink" Target="https://optovikufa.ru/product/240212/lampa-svetodiodnaya-gx53-220v-9vt-4000k-feron/" TargetMode="External"/><Relationship Id="rId_hyperlink_5037" Type="http://schemas.openxmlformats.org/officeDocument/2006/relationships/hyperlink" Target="https://optovikufa.ru/product/233910/lampa-svetodiodnaya-gx53-220v-9vt-6400k-feron/" TargetMode="External"/><Relationship Id="rId_hyperlink_5038" Type="http://schemas.openxmlformats.org/officeDocument/2006/relationships/hyperlink" Target="https://optovikufa.ru/product/228090/lampa-svetodiodnaya-gx53-220v-10vt-2800k-ecola-premium/" TargetMode="External"/><Relationship Id="rId_hyperlink_5039" Type="http://schemas.openxmlformats.org/officeDocument/2006/relationships/hyperlink" Target="https://optovikufa.ru/product/228091/lampa-svetodiodnaya-gx53-220v-10vt-4200k-ecola-premium/" TargetMode="External"/><Relationship Id="rId_hyperlink_5040" Type="http://schemas.openxmlformats.org/officeDocument/2006/relationships/hyperlink" Target="https://optovikufa.ru/product/228092/lampa-svetodiodnaya-gx53-220v-10vt-6000k-ecola-premium/" TargetMode="External"/><Relationship Id="rId_hyperlink_5041" Type="http://schemas.openxmlformats.org/officeDocument/2006/relationships/hyperlink" Target="https://optovikufa.ru/product/240214/lampa-svetodiodnaya-gx53-220v-12vt-2700k-feron/" TargetMode="External"/><Relationship Id="rId_hyperlink_5042" Type="http://schemas.openxmlformats.org/officeDocument/2006/relationships/hyperlink" Target="https://optovikufa.ru/product/230707/lampa-svetodiodnaya-gx53-220v-12vt-2800k-ecola-premium/" TargetMode="External"/><Relationship Id="rId_hyperlink_5043" Type="http://schemas.openxmlformats.org/officeDocument/2006/relationships/hyperlink" Target="https://optovikufa.ru/product/240215/lampa-svetodiodnaya-gx53-220v-12vt-4000k-feron/" TargetMode="External"/><Relationship Id="rId_hyperlink_5044" Type="http://schemas.openxmlformats.org/officeDocument/2006/relationships/hyperlink" Target="https://optovikufa.ru/product/230708/lampa-svetodiodnaya-gx53-220v-12vt-4200k-ecola-premium/" TargetMode="External"/><Relationship Id="rId_hyperlink_5045" Type="http://schemas.openxmlformats.org/officeDocument/2006/relationships/hyperlink" Target="https://optovikufa.ru/product/158580/lampa-svetodiodnaya-gx53-220v-12vt-4500k-general/" TargetMode="External"/><Relationship Id="rId_hyperlink_5046" Type="http://schemas.openxmlformats.org/officeDocument/2006/relationships/hyperlink" Target="https://optovikufa.ru/product/236378/lampa-svetodiodnaya-gx53-220v-12vt-6500k-general/" TargetMode="External"/><Relationship Id="rId_hyperlink_5047" Type="http://schemas.openxmlformats.org/officeDocument/2006/relationships/hyperlink" Target="https://optovikufa.ru/product/240219/lampa-svetodiodnaya-gx53-220v-15vt-2700k-feron/" TargetMode="External"/><Relationship Id="rId_hyperlink_5048" Type="http://schemas.openxmlformats.org/officeDocument/2006/relationships/hyperlink" Target="https://optovikufa.ru/product/240218/lampa-svetodiodnaya-gx53-220v-15vt-4000k-feron/" TargetMode="External"/><Relationship Id="rId_hyperlink_5049" Type="http://schemas.openxmlformats.org/officeDocument/2006/relationships/hyperlink" Target="https://optovikufa.ru/product/225513/lampa-svetodiodnaya-gx53-220v-15vt-4500k-general/" TargetMode="External"/><Relationship Id="rId_hyperlink_5050" Type="http://schemas.openxmlformats.org/officeDocument/2006/relationships/hyperlink" Target="https://optovikufa.ru/product/240217/lampa-svetodiodnaya-gx53-220v-15vt-6400k-feron/" TargetMode="External"/><Relationship Id="rId_hyperlink_5051" Type="http://schemas.openxmlformats.org/officeDocument/2006/relationships/hyperlink" Target="https://optovikufa.ru/product/236379/lampa-svetodiodnaya-gx53-220v-15vt-6500k-general/" TargetMode="External"/><Relationship Id="rId_hyperlink_5052" Type="http://schemas.openxmlformats.org/officeDocument/2006/relationships/hyperlink" Target="https://optovikufa.ru/product/242480/lampa-led-rgbw-s-pultom-upravleniya-svetom-5vt-e27/" TargetMode="External"/><Relationship Id="rId_hyperlink_5053" Type="http://schemas.openxmlformats.org/officeDocument/2006/relationships/hyperlink" Target="https://optovikufa.ru/product/240509/lampa-dlya-duhovyh-shkafov-t25-e14-15vt-220v-300c-favor-kalashnikovo/" TargetMode="External"/><Relationship Id="rId_hyperlink_5054" Type="http://schemas.openxmlformats.org/officeDocument/2006/relationships/hyperlink" Target="https://optovikufa.ru/product/166878/lampa-dlya-duhovyh-shkafov-t25-e14-15vt-220v-300c-camelion/" TargetMode="External"/><Relationship Id="rId_hyperlink_5055" Type="http://schemas.openxmlformats.org/officeDocument/2006/relationships/hyperlink" Target="https://optovikufa.ru/product/143983/lampa-nakalivaniya-dlya-holodilnikov-i-shveynyh-mashin-e14-15vt-220v-t25-favor/" TargetMode="External"/><Relationship Id="rId_hyperlink_5056" Type="http://schemas.openxmlformats.org/officeDocument/2006/relationships/hyperlink" Target="https://optovikufa.ru/product/149166/lampa-nakalivaniya-mo-12v-40vt-e27/" TargetMode="External"/><Relationship Id="rId_hyperlink_5057" Type="http://schemas.openxmlformats.org/officeDocument/2006/relationships/hyperlink" Target="https://optovikufa.ru/product/149165/lampa-nakalivaniya-mo-12v-60vt-e27/" TargetMode="External"/><Relationship Id="rId_hyperlink_5058" Type="http://schemas.openxmlformats.org/officeDocument/2006/relationships/hyperlink" Target="https://optovikufa.ru/product/240647/lampa-nakalivaniya-mo-24v-40vt-e27/" TargetMode="External"/><Relationship Id="rId_hyperlink_5059" Type="http://schemas.openxmlformats.org/officeDocument/2006/relationships/hyperlink" Target="https://optovikufa.ru/product/167904/lampa-nakalivaniya-mo-36v-40vt-e27/" TargetMode="External"/><Relationship Id="rId_hyperlink_5060" Type="http://schemas.openxmlformats.org/officeDocument/2006/relationships/hyperlink" Target="https://optovikufa.ru/product/132297/lampa-nakalivaniya-mo-36v-60vt-e27/" TargetMode="External"/><Relationship Id="rId_hyperlink_5061" Type="http://schemas.openxmlformats.org/officeDocument/2006/relationships/hyperlink" Target="https://optovikufa.ru/product/239960/lampa-nakalivaniya-mo-36v-95vt-e27/" TargetMode="External"/><Relationship Id="rId_hyperlink_5062" Type="http://schemas.openxmlformats.org/officeDocument/2006/relationships/hyperlink" Target="https://optovikufa.ru/product/151595/lampa-svetodiodnaya-dlya-holodilnikov-i-shveynyh-mashin-e14-3vt-4000k-220v-t25-ecola-b4uv30elc/" TargetMode="External"/><Relationship Id="rId_hyperlink_5063" Type="http://schemas.openxmlformats.org/officeDocument/2006/relationships/hyperlink" Target="https://optovikufa.ru/product/228088/lampa-svetodiodnaya-dlya-holodilnikov-i-shveynyh-mashin-e14-3vt-6000k-220v-t25-340-ecola-b4ud30elc/" TargetMode="External"/><Relationship Id="rId_hyperlink_5064" Type="http://schemas.openxmlformats.org/officeDocument/2006/relationships/hyperlink" Target="https://optovikufa.ru/product/130164/lampa-svetodiodnaya-nizkovoltnaya-12-48v-10vt-4000k-feron/" TargetMode="External"/><Relationship Id="rId_hyperlink_5065" Type="http://schemas.openxmlformats.org/officeDocument/2006/relationships/hyperlink" Target="https://optovikufa.ru/product/136933/lampa-energosberegayuschaya-2g7-9vt-6400k-220v-fpl-dlya-svetilnikov-camelion/" TargetMode="External"/><Relationship Id="rId_hyperlink_5066" Type="http://schemas.openxmlformats.org/officeDocument/2006/relationships/hyperlink" Target="https://optovikufa.ru/product/136934/lampa-energosberegayuschaya-2g7-11vt-6400k-220v-fpl-dlya-svetilnikov-camelion/" TargetMode="External"/><Relationship Id="rId_hyperlink_5067" Type="http://schemas.openxmlformats.org/officeDocument/2006/relationships/hyperlink" Target="https://optovikufa.ru/product/140895/lampa-energosberegayuschaya-g23-9vt-4200k220v-lh9-u842-dlya-svetilnikov-camelion/" TargetMode="External"/><Relationship Id="rId_hyperlink_5068" Type="http://schemas.openxmlformats.org/officeDocument/2006/relationships/hyperlink" Target="https://optovikufa.ru/product/135504/lampa-energosberegayuschaya-g23-11vt-4200k-220v-dlya-svetilnikov-camelion-lh11-u842/" TargetMode="External"/><Relationship Id="rId_hyperlink_5069" Type="http://schemas.openxmlformats.org/officeDocument/2006/relationships/hyperlink" Target="https://optovikufa.ru/product/242742/patron-e14-karbolit-lyustrovyy-s-kolcom-chernyy-navigator/" TargetMode="External"/><Relationship Id="rId_hyperlink_5070" Type="http://schemas.openxmlformats.org/officeDocument/2006/relationships/hyperlink" Target="https://optovikufa.ru/product/133446/patron-e14-karbolit-podvesnoy-chernyy-smartbuy-sbe-lhb-s-e14/" TargetMode="External"/><Relationship Id="rId_hyperlink_5071" Type="http://schemas.openxmlformats.org/officeDocument/2006/relationships/hyperlink" Target="https://optovikufa.ru/product/140577/patron-e14-karbolit-podvesnoy-chernyy-universal-5560721-kitay/" TargetMode="External"/><Relationship Id="rId_hyperlink_5072" Type="http://schemas.openxmlformats.org/officeDocument/2006/relationships/hyperlink" Target="https://optovikufa.ru/product/158614/patron-e14-keramicheskiy-universal-5565327/" TargetMode="External"/><Relationship Id="rId_hyperlink_5073" Type="http://schemas.openxmlformats.org/officeDocument/2006/relationships/hyperlink" Target="https://optovikufa.ru/product/240916/patron-e14-termostoykiy-plastik-podvesnoy-belyy-navigator/" TargetMode="External"/><Relationship Id="rId_hyperlink_5074" Type="http://schemas.openxmlformats.org/officeDocument/2006/relationships/hyperlink" Target="https://optovikufa.ru/product/240917/patron-e14-termostoykiy-plastik-podvesnoy-chernyy-navigator/" TargetMode="External"/><Relationship Id="rId_hyperlink_5075" Type="http://schemas.openxmlformats.org/officeDocument/2006/relationships/hyperlink" Target="https://optovikufa.ru/product/143549/patron-e14-termostoykiy-plastik-s-kolcom-belyy-2a-250v-universal-7941531/" TargetMode="External"/><Relationship Id="rId_hyperlink_5076" Type="http://schemas.openxmlformats.org/officeDocument/2006/relationships/hyperlink" Target="https://optovikufa.ru/product/236635/patron-e27-karbolit-nastennyy-chernyy/" TargetMode="External"/><Relationship Id="rId_hyperlink_5077" Type="http://schemas.openxmlformats.org/officeDocument/2006/relationships/hyperlink" Target="https://optovikufa.ru/product/140578/patron-e27-karbolit-nastenyy-4a-250v-universal-5560727-kitay/" TargetMode="External"/><Relationship Id="rId_hyperlink_5078" Type="http://schemas.openxmlformats.org/officeDocument/2006/relationships/hyperlink" Target="https://optovikufa.ru/product/242743/patron-e27-karbolit-podvesnoy-m12-4a-250v-navigator/" TargetMode="External"/><Relationship Id="rId_hyperlink_5079" Type="http://schemas.openxmlformats.org/officeDocument/2006/relationships/hyperlink" Target="https://optovikufa.ru/product/236637/patron-e27-karbolit-potolochnyy-chernyy/" TargetMode="External"/><Relationship Id="rId_hyperlink_5080" Type="http://schemas.openxmlformats.org/officeDocument/2006/relationships/hyperlink" Target="https://optovikufa.ru/product/150373/patron-e27-karbolit-potolochnyy-chernyy-universal-cd1204-5565303/" TargetMode="External"/><Relationship Id="rId_hyperlink_5081" Type="http://schemas.openxmlformats.org/officeDocument/2006/relationships/hyperlink" Target="https://optovikufa.ru/product/236638/patron-e27-keramicheskiy-podvesnoy/" TargetMode="External"/><Relationship Id="rId_hyperlink_5082" Type="http://schemas.openxmlformats.org/officeDocument/2006/relationships/hyperlink" Target="https://optovikufa.ru/product/143551/patron-e27-keramicheskiy-podvesnoy-4a-universal-v-upakovke-7944297/" TargetMode="External"/><Relationship Id="rId_hyperlink_5083" Type="http://schemas.openxmlformats.org/officeDocument/2006/relationships/hyperlink" Target="https://optovikufa.ru/product/158654/patron-e27-termostoykiy-plastik-podvesnoy-s-klemmnoy-kolodkoy-belyy-4a-250v-universal-1351/" TargetMode="External"/><Relationship Id="rId_hyperlink_5084" Type="http://schemas.openxmlformats.org/officeDocument/2006/relationships/hyperlink" Target="https://optovikufa.ru/product/158655/patron-e27-termostoykiy-plastik-podvesnoy-s-klemmnoy-kolodkoy-chernyy-4a-250v-universal-48002/" TargetMode="External"/><Relationship Id="rId_hyperlink_5085" Type="http://schemas.openxmlformats.org/officeDocument/2006/relationships/hyperlink" Target="https://optovikufa.ru/product/236042/patron-e27-termostoykiy-plastik-s-kolcom-smartbuy-sbe-lhp-sr-e27/" TargetMode="External"/><Relationship Id="rId_hyperlink_5086" Type="http://schemas.openxmlformats.org/officeDocument/2006/relationships/hyperlink" Target="https://optovikufa.ru/product/221734/patron-g13-dlya-lamp-t8-sbe-lhp-g13/" TargetMode="External"/><Relationship Id="rId_hyperlink_5087" Type="http://schemas.openxmlformats.org/officeDocument/2006/relationships/hyperlink" Target="https://optovikufa.ru/product/146334/patron-g4-smartbuy-sbe-lhp-g4/" TargetMode="External"/><Relationship Id="rId_hyperlink_5088" Type="http://schemas.openxmlformats.org/officeDocument/2006/relationships/hyperlink" Target="https://optovikufa.ru/product/240918/patron-g9-keramicheskiy-lh29-feron/" TargetMode="External"/><Relationship Id="rId_hyperlink_5089" Type="http://schemas.openxmlformats.org/officeDocument/2006/relationships/hyperlink" Target="https://optovikufa.ru/product/134476/patron-gu4gu53-provod-2075-15sm-2a-250vt-universal-5560719/" TargetMode="External"/><Relationship Id="rId_hyperlink_5090" Type="http://schemas.openxmlformats.org/officeDocument/2006/relationships/hyperlink" Target="https://optovikufa.ru/product/160895/patron-gu53-dlya-galogennyh-lamp-navigator-nlh-cl/" TargetMode="External"/><Relationship Id="rId_hyperlink_5091" Type="http://schemas.openxmlformats.org/officeDocument/2006/relationships/hyperlink" Target="https://optovikufa.ru/product/241277/patron-dlya-lyustry-e-27-provod-300mm/" TargetMode="External"/><Relationship Id="rId_hyperlink_5092" Type="http://schemas.openxmlformats.org/officeDocument/2006/relationships/hyperlink" Target="https://optovikufa.ru/product/183512/podves-s-patronom-e27-smartbuy-belyy-sbe-clhe27s-w/" TargetMode="External"/><Relationship Id="rId_hyperlink_5093" Type="http://schemas.openxmlformats.org/officeDocument/2006/relationships/hyperlink" Target="https://optovikufa.ru/product/183514/podves-s-patronom-e27-smartbuy-goluboy-sbe-clhe27s-bl/" TargetMode="External"/><Relationship Id="rId_hyperlink_5094" Type="http://schemas.openxmlformats.org/officeDocument/2006/relationships/hyperlink" Target="https://optovikufa.ru/product/183519/podves-s-patronom-e27-smartbuy-oranzhevyy-sbe-clhe27s-o/" TargetMode="External"/><Relationship Id="rId_hyperlink_5095" Type="http://schemas.openxmlformats.org/officeDocument/2006/relationships/hyperlink" Target="https://optovikufa.ru/product/183521/podves-s-patronom-e27-smartbuy-chernyy-sbe-clhe27s-b/" TargetMode="External"/><Relationship Id="rId_hyperlink_5096" Type="http://schemas.openxmlformats.org/officeDocument/2006/relationships/hyperlink" Target="https://optovikufa.ru/product/242917/patron-perehodnik-e14-na-e27-belyy-smartbuy-sbe-a-e14-27/" TargetMode="External"/><Relationship Id="rId_hyperlink_5097" Type="http://schemas.openxmlformats.org/officeDocument/2006/relationships/hyperlink" Target="https://optovikufa.ru/product/164632/patron-perehodnik-e14-na-e27-feron/" TargetMode="External"/><Relationship Id="rId_hyperlink_5098" Type="http://schemas.openxmlformats.org/officeDocument/2006/relationships/hyperlink" Target="https://optovikufa.ru/product/242918/patron-perehodnik-e27-na-e14-belyy-smartbuy-sbe-a-e27-14/" TargetMode="External"/><Relationship Id="rId_hyperlink_5099" Type="http://schemas.openxmlformats.org/officeDocument/2006/relationships/hyperlink" Target="https://optovikufa.ru/product/164633/patron-perehodnik-e27-na-e14-feron/" TargetMode="External"/><Relationship Id="rId_hyperlink_5100" Type="http://schemas.openxmlformats.org/officeDocument/2006/relationships/hyperlink" Target="https://optovikufa.ru/product/164634/patron-perehodnik-e27-na-e40-feron/" TargetMode="External"/><Relationship Id="rId_hyperlink_5101" Type="http://schemas.openxmlformats.org/officeDocument/2006/relationships/hyperlink" Target="https://optovikufa.ru/product/123360/patron-perehodnik-e40-na-e27-feron/" TargetMode="External"/><Relationship Id="rId_hyperlink_5102" Type="http://schemas.openxmlformats.org/officeDocument/2006/relationships/hyperlink" Target="https://optovikufa.ru/product/167464/patron-perehodnik-g23-na-e27-belyy-ecola-g23e7weay/" TargetMode="External"/><Relationship Id="rId_hyperlink_5103" Type="http://schemas.openxmlformats.org/officeDocument/2006/relationships/hyperlink" Target="https://optovikufa.ru/product/167465/patron-perehodnik-g24q-na-e27-belyy-ecola-g24q7weay/" TargetMode="External"/><Relationship Id="rId_hyperlink_5104" Type="http://schemas.openxmlformats.org/officeDocument/2006/relationships/hyperlink" Target="https://optovikufa.ru/product/148373/patron-perehodnik-gu10-na-e14-dlya-led-lamp-tds-ogonek-ac-02/" TargetMode="External"/><Relationship Id="rId_hyperlink_5105" Type="http://schemas.openxmlformats.org/officeDocument/2006/relationships/hyperlink" Target="https://optovikufa.ru/product/242919/perehodnik-vilka-patron-e-14-gibkiy-150mm-s-vyklyuchatelem-belyy-sbl-nl-003/" TargetMode="External"/><Relationship Id="rId_hyperlink_5106" Type="http://schemas.openxmlformats.org/officeDocument/2006/relationships/hyperlink" Target="https://optovikufa.ru/product/174301/perehodnik-vilka-patron-e-14-gibkiy-150mm-s-vyklyuchatelem-belyy-ecola-apf4nweay/" TargetMode="External"/><Relationship Id="rId_hyperlink_5107" Type="http://schemas.openxmlformats.org/officeDocument/2006/relationships/hyperlink" Target="https://optovikufa.ru/product/174302/perehodnik-vilka-patron-e-14-gibkiy-300mm-s-vyklyuchatelem-belyy-ecola-apf4sweay/" TargetMode="External"/><Relationship Id="rId_hyperlink_5108" Type="http://schemas.openxmlformats.org/officeDocument/2006/relationships/hyperlink" Target="https://optovikufa.ru/product/237036/perehodnik-vilka-patron-e-27-c-vyklyuchatelem-belyy-smartbuy-sbe-a-l-e27/" TargetMode="External"/><Relationship Id="rId_hyperlink_5109" Type="http://schemas.openxmlformats.org/officeDocument/2006/relationships/hyperlink" Target="https://optovikufa.ru/product/242920/perehodnik-vilka-patron-e-27-gibkiy-150mm-s-vyklyuchatelem-belyy-sbl-nl-004/" TargetMode="External"/><Relationship Id="rId_hyperlink_5110" Type="http://schemas.openxmlformats.org/officeDocument/2006/relationships/hyperlink" Target="https://optovikufa.ru/product/174318/perehodnik-gibkiy-e-27-na-e27-300mm-belyy-ecola-a7l17weay/" TargetMode="External"/><Relationship Id="rId_hyperlink_5111" Type="http://schemas.openxmlformats.org/officeDocument/2006/relationships/hyperlink" Target="https://optovikufa.ru/product/223485/nochnik-svetodiodnyy-in-home-nla-03-my-grib-zheltyy-s-vyklyuchatelem-230v-8989/" TargetMode="External"/><Relationship Id="rId_hyperlink_5112" Type="http://schemas.openxmlformats.org/officeDocument/2006/relationships/hyperlink" Target="https://optovikufa.ru/product/242028/nochnik-svetodiodnyy-in-home-nla-09-by-ds-pchelka-zheltaya-s-datchikom-sveta-den-noch-05vt/" TargetMode="External"/><Relationship Id="rId_hyperlink_5113" Type="http://schemas.openxmlformats.org/officeDocument/2006/relationships/hyperlink" Target="https://optovikufa.ru/product/242030/nochnik-svetodiodnyy-in-home-nla-14-bb-ds-letuchaya-myshka-chernaya-s-datchikom-sveta-den-noch-05vt/" TargetMode="External"/><Relationship Id="rId_hyperlink_5114" Type="http://schemas.openxmlformats.org/officeDocument/2006/relationships/hyperlink" Target="https://optovikufa.ru/product/242026/nochnik-svetodiodnyy-in-home-nla-15-bp-ds-babochka-rozovaya-s-datchikom-sveta-den-noch-05vt/" TargetMode="External"/><Relationship Id="rId_hyperlink_5115" Type="http://schemas.openxmlformats.org/officeDocument/2006/relationships/hyperlink" Target="https://optovikufa.ru/product/242904/nochnik-svetodiodnyy-in-home-nle-04-lw-s-belyy-s-vyklyuchatelem/" TargetMode="External"/><Relationship Id="rId_hyperlink_5116" Type="http://schemas.openxmlformats.org/officeDocument/2006/relationships/hyperlink" Target="https://optovikufa.ru/product/238905/nochnik-svetodiodnyy-proconnect-s-datchikom-den-noch-465h455h135-75-0301/" TargetMode="External"/><Relationship Id="rId_hyperlink_5117" Type="http://schemas.openxmlformats.org/officeDocument/2006/relationships/hyperlink" Target="https://optovikufa.ru/product/241664/podsvetka-dlya-zerkal-og-ldp12-usb/" TargetMode="External"/><Relationship Id="rId_hyperlink_5118" Type="http://schemas.openxmlformats.org/officeDocument/2006/relationships/hyperlink" Target="https://optovikufa.ru/product/241665/podsvetka-dlya-zerkal-og-ldp13-usb/" TargetMode="External"/><Relationship Id="rId_hyperlink_5119" Type="http://schemas.openxmlformats.org/officeDocument/2006/relationships/hyperlink" Target="https://optovikufa.ru/product/241850/svetilnik-svetodiodnyy-dbp-12w-s-datchikom-6500k-900lm-ip54-kruglyy-belyy-al3006-feron/" TargetMode="External"/><Relationship Id="rId_hyperlink_5120" Type="http://schemas.openxmlformats.org/officeDocument/2006/relationships/hyperlink" Target="https://optovikufa.ru/product/241849/svetilnik-svetodiodnyy-dbp-12w-s-optiko-akusticheskim-datchikom-6500k-960lm-ip65-kruglyy-belyy-al3008-feron/" TargetMode="External"/><Relationship Id="rId_hyperlink_5121" Type="http://schemas.openxmlformats.org/officeDocument/2006/relationships/hyperlink" Target="https://optovikufa.ru/product/169895/svetilnik-svetodiodnyy-zhkh-optiko-akusticheskiy-7vt-4000k-ip65-obl-r1-7-4k-wh-ip65-led-snrv-onlayt-71622/" TargetMode="External"/><Relationship Id="rId_hyperlink_5122" Type="http://schemas.openxmlformats.org/officeDocument/2006/relationships/hyperlink" Target="https://optovikufa.ru/product/234907/svetilniksvetodiodnyy-dbo-r1-12-4k-win-ip65-d-zhkh-krug-s-optiko-akusticheskiy-4000k-tokov-electric-tok-r1d-12-4k-win-ip65/" TargetMode="External"/><Relationship Id="rId_hyperlink_5123" Type="http://schemas.openxmlformats.org/officeDocument/2006/relationships/hyperlink" Target="https://optovikufa.ru/product/242721/svetilnik-svetodiodnyy-dbp-8vt-6500k-640lm-ip65-kruglyy-belyy-al3005-feron/" TargetMode="External"/><Relationship Id="rId_hyperlink_5124" Type="http://schemas.openxmlformats.org/officeDocument/2006/relationships/hyperlink" Target="https://optovikufa.ru/product/183174/svetilnik-svetodiodnyy-dbp-12vt-6500k-900lm-ip65-kruglyy-belyy-al3005-feron/" TargetMode="External"/><Relationship Id="rId_hyperlink_5125" Type="http://schemas.openxmlformats.org/officeDocument/2006/relationships/hyperlink" Target="https://optovikufa.ru/product/236118/svetilnik-svetodiodnyy-dbp-18vt-6500k-1440lm-ip65-kruglyy-belyy-al3005-feron/" TargetMode="External"/><Relationship Id="rId_hyperlink_5126" Type="http://schemas.openxmlformats.org/officeDocument/2006/relationships/hyperlink" Target="https://optovikufa.ru/product/242723/svetilnik-svetodiodnyy-dbp-8vt-6500k-640lm-ip65-oval-belyy-al3005-1-feron/" TargetMode="External"/><Relationship Id="rId_hyperlink_5127" Type="http://schemas.openxmlformats.org/officeDocument/2006/relationships/hyperlink" Target="https://optovikufa.ru/product/242722/svetilnik-svetodiodnyy-dbp-12vt-6500k-900lm-ip65-oval-belyy-al3005-1-feron/" TargetMode="External"/><Relationship Id="rId_hyperlink_5128" Type="http://schemas.openxmlformats.org/officeDocument/2006/relationships/hyperlink" Target="https://optovikufa.ru/product/241146/cetevoy-shnur-dlya-svetilnika-t5-ecola-led-linear-s-vilkoy-i-obschim-vyklyuchatelem-1m/" TargetMode="External"/><Relationship Id="rId_hyperlink_5129" Type="http://schemas.openxmlformats.org/officeDocument/2006/relationships/hyperlink" Target="https://optovikufa.ru/product/132031/svetilnik-svetodiodnyy-6vt-450mm-4000k-ip20-jazzway-pled-t5i-450-2850607/" TargetMode="External"/><Relationship Id="rId_hyperlink_5130" Type="http://schemas.openxmlformats.org/officeDocument/2006/relationships/hyperlink" Target="https://optovikufa.ru/product/166750/svetilnik-svetodiodnyy-6vt-450mm-6500k-ip20-jazzway-pled-t5i-450-1036278/" TargetMode="External"/><Relationship Id="rId_hyperlink_5131" Type="http://schemas.openxmlformats.org/officeDocument/2006/relationships/hyperlink" Target="https://optovikufa.ru/product/132032/svetilnik-svetodiodnyy-8vt-600mm-4000k-ip20-jazzway-pled-t5i-600-2850621/" TargetMode="External"/><Relationship Id="rId_hyperlink_5132" Type="http://schemas.openxmlformats.org/officeDocument/2006/relationships/hyperlink" Target="https://optovikufa.ru/product/166751/svetilnik-svetodiodnyy-8vt-600mm-6500k-ip20-jazzway-pled-t5i-600-1036339/" TargetMode="External"/><Relationship Id="rId_hyperlink_5133" Type="http://schemas.openxmlformats.org/officeDocument/2006/relationships/hyperlink" Target="https://optovikufa.ru/product/166749/svetilnik-svetodiodnyy-10vt-900mm-6500k-ip40-jazzway-pled-t5i-900-1036322a/" TargetMode="External"/><Relationship Id="rId_hyperlink_5134" Type="http://schemas.openxmlformats.org/officeDocument/2006/relationships/hyperlink" Target="https://optovikufa.ru/product/161329/svetilnik-svetodiodnyy-14vt-1200mm-4000k-ip20-jazzway-pled-t5i-1200-2850669a/" TargetMode="External"/><Relationship Id="rId_hyperlink_5135" Type="http://schemas.openxmlformats.org/officeDocument/2006/relationships/hyperlink" Target="https://optovikufa.ru/product/236632/svetilnik-svetodiodnyy-14vt-1200mm-6500k-ip20-jazzway-pled-t5i-1200/" TargetMode="External"/><Relationship Id="rId_hyperlink_5136" Type="http://schemas.openxmlformats.org/officeDocument/2006/relationships/hyperlink" Target="https://optovikufa.ru/product/229697/svetilnik-svetodiodnyy-18vt-4000k-lu2-matovyy-smartbuy-sbl-lu2-18w-40/" TargetMode="External"/><Relationship Id="rId_hyperlink_5137" Type="http://schemas.openxmlformats.org/officeDocument/2006/relationships/hyperlink" Target="https://optovikufa.ru/product/230963/svetilnik-svetodiodnyy-18vt-4000k-lu2-prozrachnyy-smartbuy-sbl-lu2-18w-40-pr/" TargetMode="External"/><Relationship Id="rId_hyperlink_5138" Type="http://schemas.openxmlformats.org/officeDocument/2006/relationships/hyperlink" Target="https://optovikufa.ru/product/225029/svetilnik-svetodiodnyy-18vt-6400k-lu2-matovyy-smartbuy-sbl-lu2-18w/" TargetMode="External"/><Relationship Id="rId_hyperlink_5139" Type="http://schemas.openxmlformats.org/officeDocument/2006/relationships/hyperlink" Target="https://optovikufa.ru/product/236002/svetilnik-svetodiodnyy-18vt-6400k-lu2-prozrachnyy-smartbuy-sbl-lu2-18w/" TargetMode="External"/><Relationship Id="rId_hyperlink_5140" Type="http://schemas.openxmlformats.org/officeDocument/2006/relationships/hyperlink" Target="https://optovikufa.ru/product/230966/svetilnik-svetodiodnyy-20vt-4000k-tpip65-matovyy-smartbuy-sbl-tpip65-20w-40k/" TargetMode="External"/><Relationship Id="rId_hyperlink_5141" Type="http://schemas.openxmlformats.org/officeDocument/2006/relationships/hyperlink" Target="https://optovikufa.ru/product/134594/svetilnik-svetodiodnyy-20vt-600mm-4000k-ip20-jazzway-ppok-600-2854926/" TargetMode="External"/><Relationship Id="rId_hyperlink_5142" Type="http://schemas.openxmlformats.org/officeDocument/2006/relationships/hyperlink" Target="https://optovikufa.ru/product/235403/svetilnik-svetodiodnyy-220v-10vt-6500k-76led-1m-alyuminievaya-osnova-plastikovyy-korpus/" TargetMode="External"/><Relationship Id="rId_hyperlink_5143" Type="http://schemas.openxmlformats.org/officeDocument/2006/relationships/hyperlink" Target="https://optovikufa.ru/product/158650/svetilnik-svetodiodnyy-220v-14vt-6500k-144led-1m-alyuminievaya-osnova-plastikovyy-korpus/" TargetMode="External"/><Relationship Id="rId_hyperlink_5144" Type="http://schemas.openxmlformats.org/officeDocument/2006/relationships/hyperlink" Target="https://optovikufa.ru/product/225049/svetilnik-svetodiodnyy-36vt-4000k-spo-108-ip40-in-home/" TargetMode="External"/><Relationship Id="rId_hyperlink_5145" Type="http://schemas.openxmlformats.org/officeDocument/2006/relationships/hyperlink" Target="https://optovikufa.ru/product/226245/svetilnik-svetodiodnyy-36vt-6500k-spo-108-ip40-in-home/" TargetMode="External"/><Relationship Id="rId_hyperlink_5146" Type="http://schemas.openxmlformats.org/officeDocument/2006/relationships/hyperlink" Target="https://optovikufa.ru/product/237059/svetilnik-svetodiodnyy-36vt-lu2-4000k-matovyy-sbl-lu2-36-40/" TargetMode="External"/><Relationship Id="rId_hyperlink_5147" Type="http://schemas.openxmlformats.org/officeDocument/2006/relationships/hyperlink" Target="https://optovikufa.ru/product/241563/svetilnik-svetodiodnyy-potolochnyy-120vt-6500k-pro-055-1200h35h160/" TargetMode="External"/><Relationship Id="rId_hyperlink_5148" Type="http://schemas.openxmlformats.org/officeDocument/2006/relationships/hyperlink" Target="https://optovikufa.ru/product/234006/svetilnik-svetodiodnyy-potolochnyy-120vt-6500k-pro-class/" TargetMode="External"/><Relationship Id="rId_hyperlink_5149" Type="http://schemas.openxmlformats.org/officeDocument/2006/relationships/hyperlink" Target="https://optovikufa.ru/product/241564/svetilnik-svetodiodnyy-potolochnyy-150vt-6500k-pro-055-1200h33h20/" TargetMode="External"/><Relationship Id="rId_hyperlink_5150" Type="http://schemas.openxmlformats.org/officeDocument/2006/relationships/hyperlink" Target="https://optovikufa.ru/product/241559/svetilnik-svetodiodnyy-potolochnyy-160vt-6500k-pro-class/" TargetMode="External"/><Relationship Id="rId_hyperlink_5151" Type="http://schemas.openxmlformats.org/officeDocument/2006/relationships/hyperlink" Target="https://optovikufa.ru/product/241560/svetilnik-svetodiodnyy-potolochnyy-200vt-6500k-pro-class/" TargetMode="External"/><Relationship Id="rId_hyperlink_5152" Type="http://schemas.openxmlformats.org/officeDocument/2006/relationships/hyperlink" Target="https://optovikufa.ru/product/241561/svetilnik-svetodiodnyy-potolochnyy-48vt-6500k-pro-055/" TargetMode="External"/><Relationship Id="rId_hyperlink_5153" Type="http://schemas.openxmlformats.org/officeDocument/2006/relationships/hyperlink" Target="https://optovikufa.ru/product/241557/svetilnik-svetodiodnyy-potolochnyy-60vt-6500k-pro-class/" TargetMode="External"/><Relationship Id="rId_hyperlink_5154" Type="http://schemas.openxmlformats.org/officeDocument/2006/relationships/hyperlink" Target="https://optovikufa.ru/product/241562/svetilnik-svetodiodnyy-potolochnyy-80vt-6500k-pro-055/" TargetMode="External"/><Relationship Id="rId_hyperlink_5155" Type="http://schemas.openxmlformats.org/officeDocument/2006/relationships/hyperlink" Target="https://optovikufa.ru/product/241558/svetilnik-svetodiodnyy-potolochnyy-80vt-6500k-pro-055-1200h22h20/" TargetMode="External"/><Relationship Id="rId_hyperlink_5156" Type="http://schemas.openxmlformats.org/officeDocument/2006/relationships/hyperlink" Target="https://optovikufa.ru/product/234004/svetilnik-svetodiodnyy-potolochnyy-90vt-6500k-pro-class/" TargetMode="External"/><Relationship Id="rId_hyperlink_5157" Type="http://schemas.openxmlformats.org/officeDocument/2006/relationships/hyperlink" Target="https://optovikufa.ru/product/238384/setevoy-shnur-dlya-led-cab-2pin-230v1200mm205mm-cab239-10312/" TargetMode="External"/><Relationship Id="rId_hyperlink_5158" Type="http://schemas.openxmlformats.org/officeDocument/2006/relationships/hyperlink" Target="https://optovikufa.ru/product/242724/svetilnik-pod-svetodiodnuyu-lampu-bez-stekla-1ht8-g13-600mm-feron-al4001/" TargetMode="External"/><Relationship Id="rId_hyperlink_5159" Type="http://schemas.openxmlformats.org/officeDocument/2006/relationships/hyperlink" Target="https://optovikufa.ru/product/242725/svetilnik-pod-svetodiodnuyu-lampu-bez-stekla-1ht8-g13-1200mm-feron-al4001/" TargetMode="External"/><Relationship Id="rId_hyperlink_5160" Type="http://schemas.openxmlformats.org/officeDocument/2006/relationships/hyperlink" Target="https://optovikufa.ru/product/242726/svetilnik-pod-svetodiodnuyu-lampu-bez-stekla-2ht8-g13-600mm-feron-al4002/" TargetMode="External"/><Relationship Id="rId_hyperlink_5161" Type="http://schemas.openxmlformats.org/officeDocument/2006/relationships/hyperlink" Target="https://optovikufa.ru/product/242727/svetilnik-pod-svetodiodnuyu-lampu-bez-stekla-2ht8-g13-1200mm-feron-al4002/" TargetMode="External"/><Relationship Id="rId_hyperlink_5162" Type="http://schemas.openxmlformats.org/officeDocument/2006/relationships/hyperlink" Target="https://optovikufa.ru/product/238812/svetilnik-svetodiodnyy-nastennyy-tumbler-skotch-magnitnyy-3aaa-/" TargetMode="External"/><Relationship Id="rId_hyperlink_5163" Type="http://schemas.openxmlformats.org/officeDocument/2006/relationships/hyperlink" Target="https://optovikufa.ru/product/238876/svetilnik-nastolnyy-feron-e14-60vt-220v-na-strubcine-chernyy-de1430/" TargetMode="External"/><Relationship Id="rId_hyperlink_5164" Type="http://schemas.openxmlformats.org/officeDocument/2006/relationships/hyperlink" Target="https://optovikufa.ru/product/241396/svetilnik-nastolnyy-led-20vt-3-rezhima-6500-belyy-gibkiy-akkumshnur-na-usb/" TargetMode="External"/><Relationship Id="rId_hyperlink_5165" Type="http://schemas.openxmlformats.org/officeDocument/2006/relationships/hyperlink" Target="https://optovikufa.ru/product/241397/svetilnik-nastolnyy-led-20vt-3-rezhima-penal-belyy-nochnikpodstpod-telefon-akkumusb/" TargetMode="External"/><Relationship Id="rId_hyperlink_5166" Type="http://schemas.openxmlformats.org/officeDocument/2006/relationships/hyperlink" Target="https://optovikufa.ru/product/235573/svetilnik-nastolnyy-pod-lampu-e27-na-osnovanii-strubcina-belyy-smartbuy-sbl-dl-e27-w/" TargetMode="External"/><Relationship Id="rId_hyperlink_5167" Type="http://schemas.openxmlformats.org/officeDocument/2006/relationships/hyperlink" Target="https://optovikufa.ru/product/235574/svetilnik-nastolnyy-pod-lampu-e27-na-osnovanii-strubcina-chernyy-smartbuy-sbl-dl-e27-b/" TargetMode="External"/><Relationship Id="rId_hyperlink_5168" Type="http://schemas.openxmlformats.org/officeDocument/2006/relationships/hyperlink" Target="https://optovikufa.ru/product/242694/svetilnik-nastolnyy-pod-lampu-e27-na-osnovanii-strubcina-krasnyy-in-home-sno-15k/" TargetMode="External"/><Relationship Id="rId_hyperlink_5169" Type="http://schemas.openxmlformats.org/officeDocument/2006/relationships/hyperlink" Target="https://optovikufa.ru/product/242695/svetilnik-nastolnyy-pod-lampu-e27-na-osnovanii-strubcina-myatnyy-in-home-sno-15m/" TargetMode="External"/><Relationship Id="rId_hyperlink_5170" Type="http://schemas.openxmlformats.org/officeDocument/2006/relationships/hyperlink" Target="https://optovikufa.ru/product/242696/svetilnik-nastolnyy-pod-lampu-e27-na-osnovanii-strubcina-rozovyy-in-home-sno-15r/" TargetMode="External"/><Relationship Id="rId_hyperlink_5171" Type="http://schemas.openxmlformats.org/officeDocument/2006/relationships/hyperlink" Target="https://optovikufa.ru/product/242699/svetilnik-nastolnyy-pod-lampu-e27-na-osnovanii-strubcina-fioletovyy-in-home-sno-15f/" TargetMode="External"/><Relationship Id="rId_hyperlink_5172" Type="http://schemas.openxmlformats.org/officeDocument/2006/relationships/hyperlink" Target="https://optovikufa.ru/product/239976/svetilnik-nastolnyy-pod-lampu-e27-na-osnovanii-belyy-smartbuy-sbl-deskl-white/" TargetMode="External"/><Relationship Id="rId_hyperlink_5173" Type="http://schemas.openxmlformats.org/officeDocument/2006/relationships/hyperlink" Target="https://optovikufa.ru/product/235570/svetilnik-nastolnyy-pod-lampu-e27-na-osnovanii-chernyy-smartbuy-sbl-deskl-black/" TargetMode="External"/><Relationship Id="rId_hyperlink_5174" Type="http://schemas.openxmlformats.org/officeDocument/2006/relationships/hyperlink" Target="https://optovikufa.ru/product/235575/svetilnik-nastolnyy-pod-lampu-e27-na-strubcine-belyy-smartbuy-sbl-dlc-e27-w/" TargetMode="External"/><Relationship Id="rId_hyperlink_5175" Type="http://schemas.openxmlformats.org/officeDocument/2006/relationships/hyperlink" Target="https://optovikufa.ru/product/235572/svetilnik-nastolnyy-pod-lampu-e27-s-prischepkoy-belyy-smartbuy-sbl-deskl01-white/" TargetMode="External"/><Relationship Id="rId_hyperlink_5176" Type="http://schemas.openxmlformats.org/officeDocument/2006/relationships/hyperlink" Target="https://optovikufa.ru/product/236304/svetilnik-nastolnyy-pod-lampu-e27-s-prischepkoy-rozovyy-smartbuy-sbl-deskl01-pink/" TargetMode="External"/><Relationship Id="rId_hyperlink_5177" Type="http://schemas.openxmlformats.org/officeDocument/2006/relationships/hyperlink" Target="https://optovikufa.ru/product/239094/svetilnik-nastolnyy-pod-lampu-e27-s-prischepkoy-siniy-smartbuy-sbl-deskl01-blue/" TargetMode="External"/><Relationship Id="rId_hyperlink_5178" Type="http://schemas.openxmlformats.org/officeDocument/2006/relationships/hyperlink" Target="https://optovikufa.ru/product/235571/svetilnik-nastolnyy-pod-lampu-e27-s-prischepkoy-chernyy-smartbuy-sbl-deskl01-black/" TargetMode="External"/><Relationship Id="rId_hyperlink_5179" Type="http://schemas.openxmlformats.org/officeDocument/2006/relationships/hyperlink" Target="https://optovikufa.ru/product/242706/svetilnik-nastolnyy-pod-lampu-gx53-s-prischepkoy-krasnyy-ecola-apc53reay/" TargetMode="External"/><Relationship Id="rId_hyperlink_5180" Type="http://schemas.openxmlformats.org/officeDocument/2006/relationships/hyperlink" Target="https://optovikufa.ru/product/238950/svetilnik-nastolnyy-svetodiodnyy-7w-gx-7073-belyy/" TargetMode="External"/><Relationship Id="rId_hyperlink_5181" Type="http://schemas.openxmlformats.org/officeDocument/2006/relationships/hyperlink" Target="https://optovikufa.ru/product/222722/svetilnik-svetodiodnyy-10vt-potolochnyy-smartbuy-sbl-white-10-wt-6k/" TargetMode="External"/><Relationship Id="rId_hyperlink_5182" Type="http://schemas.openxmlformats.org/officeDocument/2006/relationships/hyperlink" Target="https://optovikufa.ru/product/223353/svetilnik-svetodiodnyy-10vt-potolochnyy-smartbuy-cube-sbl-cube-10-w-6k/" TargetMode="External"/><Relationship Id="rId_hyperlink_5183" Type="http://schemas.openxmlformats.org/officeDocument/2006/relationships/hyperlink" Target="https://optovikufa.ru/product/125210/svetilnik-svetodiodnyy-10vt-potolochnyy-smartbuy-mood-sbl-md-10-w-6k/" TargetMode="External"/><Relationship Id="rId_hyperlink_5184" Type="http://schemas.openxmlformats.org/officeDocument/2006/relationships/hyperlink" Target="https://optovikufa.ru/product/223354/svetilnik-svetodiodnyy-10vt-potolochnyy-smartbuy-ring-sbl-ring-10-w-6k/" TargetMode="External"/><Relationship Id="rId_hyperlink_5185" Type="http://schemas.openxmlformats.org/officeDocument/2006/relationships/hyperlink" Target="https://optovikufa.ru/product/237738/svetilnik-svetodiodnyy-12w-sp-fcl-sm12w-sputnik/" TargetMode="External"/><Relationship Id="rId_hyperlink_5186" Type="http://schemas.openxmlformats.org/officeDocument/2006/relationships/hyperlink" Target="https://optovikufa.ru/product/229105/svetilnik-svetodiodnyy-14vt-potolochnyy-smartbuy-clock-sbl-clock-14-w-6k/" TargetMode="External"/><Relationship Id="rId_hyperlink_5187" Type="http://schemas.openxmlformats.org/officeDocument/2006/relationships/hyperlink" Target="https://optovikufa.ru/product/223355/svetilnik-svetodiodnyy-14vt-potolochnyy-smartbuy-cube-sbl-cube-14-w-6k/" TargetMode="External"/><Relationship Id="rId_hyperlink_5188" Type="http://schemas.openxmlformats.org/officeDocument/2006/relationships/hyperlink" Target="https://optovikufa.ru/product/223356/svetilnik-svetodiodnyy-14vt-potolochnyy-smartbuy-ring-sbl-ring-14-w-6k/" TargetMode="External"/><Relationship Id="rId_hyperlink_5189" Type="http://schemas.openxmlformats.org/officeDocument/2006/relationships/hyperlink" Target="https://optovikufa.ru/product/223174/svetilnik-svetodiodnyy-14vt-potolochnyy-smartbuy-wt-sbl-white-14-wt-6k/" TargetMode="External"/><Relationship Id="rId_hyperlink_5190" Type="http://schemas.openxmlformats.org/officeDocument/2006/relationships/hyperlink" Target="https://optovikufa.ru/product/237720/svetilnik-svetodiodnyy-18w-sp-fcl-af18w-sputnik/" TargetMode="External"/><Relationship Id="rId_hyperlink_5191" Type="http://schemas.openxmlformats.org/officeDocument/2006/relationships/hyperlink" Target="https://optovikufa.ru/product/237728/svetilnik-svetodiodnyy-18w-sp-fcl-av18w-sputnik/" TargetMode="External"/><Relationship Id="rId_hyperlink_5192" Type="http://schemas.openxmlformats.org/officeDocument/2006/relationships/hyperlink" Target="https://optovikufa.ru/product/237739/svetilnik-svetodiodnyy-18w-sp-fcl-sm18w-sputnik/" TargetMode="External"/><Relationship Id="rId_hyperlink_5193" Type="http://schemas.openxmlformats.org/officeDocument/2006/relationships/hyperlink" Target="https://optovikufa.ru/product/230019/svetilnik-svetodiodnyy-20vt-potolochnyy-smartbuy-clock-sbl-clock-20-w-6k/" TargetMode="External"/><Relationship Id="rId_hyperlink_5194" Type="http://schemas.openxmlformats.org/officeDocument/2006/relationships/hyperlink" Target="https://optovikufa.ru/product/125211/svetilnik-svetodiodnyy-20vt-potolochnyy-smartbuy-cube-sbl-cube-20-w-6k/" TargetMode="External"/><Relationship Id="rId_hyperlink_5195" Type="http://schemas.openxmlformats.org/officeDocument/2006/relationships/hyperlink" Target="https://optovikufa.ru/product/229530/svetilnik-svetodiodnyy-20vt-potolochnyy-smartbuy-diamond-sbl-dmd-20-w-6k/" TargetMode="External"/><Relationship Id="rId_hyperlink_5196" Type="http://schemas.openxmlformats.org/officeDocument/2006/relationships/hyperlink" Target="https://optovikufa.ru/product/229531/svetilnik-svetodiodnyy-20vt-potolochnyy-smartbuy-line-sbl-line-20-w-6k/" TargetMode="External"/><Relationship Id="rId_hyperlink_5197" Type="http://schemas.openxmlformats.org/officeDocument/2006/relationships/hyperlink" Target="https://optovikufa.ru/product/229532/svetilnik-svetodiodnyy-20vt-potolochnyy-smartbuy-loongo-sbl-lng-20-w-6k/" TargetMode="External"/><Relationship Id="rId_hyperlink_5198" Type="http://schemas.openxmlformats.org/officeDocument/2006/relationships/hyperlink" Target="https://optovikufa.ru/product/223352/svetilnik-svetodiodnyy-20vt-potolochnyy-smartbuy-mood-sbl-md-20-w-6k/" TargetMode="External"/><Relationship Id="rId_hyperlink_5199" Type="http://schemas.openxmlformats.org/officeDocument/2006/relationships/hyperlink" Target="https://optovikufa.ru/product/223358/svetilnik-svetodiodnyy-20vt-potolochnyy-smartbuy-ring-sbl-ring-20-w-6k/" TargetMode="External"/><Relationship Id="rId_hyperlink_5200" Type="http://schemas.openxmlformats.org/officeDocument/2006/relationships/hyperlink" Target="https://optovikufa.ru/product/223175/svetilnik-svetodiodnyy-20vt-potolochnyy-smartbuy-wt-sbl-white-20-wt-6k/" TargetMode="External"/><Relationship Id="rId_hyperlink_5201" Type="http://schemas.openxmlformats.org/officeDocument/2006/relationships/hyperlink" Target="https://optovikufa.ru/product/231722/svetilnik-svetodiodnyy-25vt-potolochnyy-smartbuy-cube-sbl-cube-25-w-6k/" TargetMode="External"/><Relationship Id="rId_hyperlink_5202" Type="http://schemas.openxmlformats.org/officeDocument/2006/relationships/hyperlink" Target="https://optovikufa.ru/product/229534/svetilnik-svetodiodnyy-25vt-potolochnyy-smartbuy-diamond-sbl-dmd-25-w-6k/" TargetMode="External"/><Relationship Id="rId_hyperlink_5203" Type="http://schemas.openxmlformats.org/officeDocument/2006/relationships/hyperlink" Target="https://optovikufa.ru/product/229536/svetilnik-svetodiodnyy-25vt-potolochnyy-smartbuy-loongo-sbl-lng-25-w-6k/" TargetMode="External"/><Relationship Id="rId_hyperlink_5204" Type="http://schemas.openxmlformats.org/officeDocument/2006/relationships/hyperlink" Target="https://optovikufa.ru/product/231720/svetilnik-svetodiodnyy-25vt-potolochnyy-smartbuy-mood-sbl-md-25-w-6k/" TargetMode="External"/><Relationship Id="rId_hyperlink_5205" Type="http://schemas.openxmlformats.org/officeDocument/2006/relationships/hyperlink" Target="https://optovikufa.ru/product/233826/svetilnik-svetodiodnyy-25vt-potolochnyy-smartbuy-ring-sbl-ring-25-w-6k/" TargetMode="External"/><Relationship Id="rId_hyperlink_5206" Type="http://schemas.openxmlformats.org/officeDocument/2006/relationships/hyperlink" Target="https://optovikufa.ru/product/237718/svetilnik-svetodiodnyy-30w-sp-fcl-ac30w-sputnik/" TargetMode="External"/><Relationship Id="rId_hyperlink_5207" Type="http://schemas.openxmlformats.org/officeDocument/2006/relationships/hyperlink" Target="https://optovikufa.ru/product/237741/svetilnik-svetodiodnyy-30w-sp-fcl-sm30w-sputnik/" TargetMode="External"/><Relationship Id="rId_hyperlink_5208" Type="http://schemas.openxmlformats.org/officeDocument/2006/relationships/hyperlink" Target="https://optovikufa.ru/product/229107/svetilnik-svetodiodnyy-35vt-potolochnyy-smartbuy-clock-sbl-clock-35-w-6k/" TargetMode="External"/><Relationship Id="rId_hyperlink_5209" Type="http://schemas.openxmlformats.org/officeDocument/2006/relationships/hyperlink" Target="https://optovikufa.ru/product/231723/svetilnik-svetodiodnyy-35vt-potolochnyy-smartbuy-cube-sbl-cube-35-w-6k/" TargetMode="External"/><Relationship Id="rId_hyperlink_5210" Type="http://schemas.openxmlformats.org/officeDocument/2006/relationships/hyperlink" Target="https://optovikufa.ru/product/229110/svetilnik-svetodiodnyy-35vt-potolochnyy-smartbuy-loongo-sbl-lng-35-w-6k/" TargetMode="External"/><Relationship Id="rId_hyperlink_5211" Type="http://schemas.openxmlformats.org/officeDocument/2006/relationships/hyperlink" Target="https://optovikufa.ru/product/231721/svetilnik-svetodiodnyy-35vt-potolochnyy-smartbuy-mood-sbl-md-35-w-6k/" TargetMode="External"/><Relationship Id="rId_hyperlink_5212" Type="http://schemas.openxmlformats.org/officeDocument/2006/relationships/hyperlink" Target="https://optovikufa.ru/product/235698/vstraivaemyy-led-svetilnik-kvadrat-3w4000kip20-dl-smartbuy-square-sbl-dlsq-3-4k/" TargetMode="External"/><Relationship Id="rId_hyperlink_5213" Type="http://schemas.openxmlformats.org/officeDocument/2006/relationships/hyperlink" Target="https://optovikufa.ru/product/153647/vstraivaemyy-led-svetilnik-kvadrat-3w6500kip20-dl-smartbuy-square-sbl-dlsq-3-65k/" TargetMode="External"/><Relationship Id="rId_hyperlink_5214" Type="http://schemas.openxmlformats.org/officeDocument/2006/relationships/hyperlink" Target="https://optovikufa.ru/product/238078/vstraivaemyy-led-svetilnik-kvadrat-6w4000kip20-dl-smartbuy-square-sbl-dlsq-6-4k/" TargetMode="External"/><Relationship Id="rId_hyperlink_5215" Type="http://schemas.openxmlformats.org/officeDocument/2006/relationships/hyperlink" Target="https://optovikufa.ru/product/240225/vstraivaemyy-led-svetilnik-kvadrat-6w6500kip20-dl-smartbuy-square-sbl-dlsq-6-65k/" TargetMode="External"/><Relationship Id="rId_hyperlink_5216" Type="http://schemas.openxmlformats.org/officeDocument/2006/relationships/hyperlink" Target="https://optovikufa.ru/product/239331/vstraivaemyy-led-svetilnik-kvadrat-9w4000kip20-dl-smartbuy-square-sbl-dlsq-9-4k/" TargetMode="External"/><Relationship Id="rId_hyperlink_5217" Type="http://schemas.openxmlformats.org/officeDocument/2006/relationships/hyperlink" Target="https://optovikufa.ru/product/236782/vstraivaemyy-led-svetilnik-kvadrat-12w4000kip20-dl-smartbuy-square-sbl-dlsq-12-4k/" TargetMode="External"/><Relationship Id="rId_hyperlink_5218" Type="http://schemas.openxmlformats.org/officeDocument/2006/relationships/hyperlink" Target="https://optovikufa.ru/product/235202/vstraivaemyy-led-svetilnik-krug-3w4000kip40-dl-smartbuy-sbl-dl-3-4k/" TargetMode="External"/><Relationship Id="rId_hyperlink_5219" Type="http://schemas.openxmlformats.org/officeDocument/2006/relationships/hyperlink" Target="https://optovikufa.ru/product/241040/vstraivaemyy-led-svetilnik-krug-3w6500kip40-dl-smartbuy-sbl-dl-3-65k/" TargetMode="External"/><Relationship Id="rId_hyperlink_5220" Type="http://schemas.openxmlformats.org/officeDocument/2006/relationships/hyperlink" Target="https://optovikufa.ru/product/241041/vstraivaemyy-led-svetilnik-krug-6w4000kip40-dl-smartbuy-sbl-dl-6-4k/" TargetMode="External"/><Relationship Id="rId_hyperlink_5221" Type="http://schemas.openxmlformats.org/officeDocument/2006/relationships/hyperlink" Target="https://optovikufa.ru/product/238646/vstraivaemyy-led-svetilnik-krug-6w6500kip40-dl-smartbuy-sbl-dl-6-65k/" TargetMode="External"/><Relationship Id="rId_hyperlink_5222" Type="http://schemas.openxmlformats.org/officeDocument/2006/relationships/hyperlink" Target="https://optovikufa.ru/product/242130/vstraivaemyy-led-svetilnik-krug-9w4000kip40-dl-smartbuy-sbl-dl-9-4k/" TargetMode="External"/><Relationship Id="rId_hyperlink_5223" Type="http://schemas.openxmlformats.org/officeDocument/2006/relationships/hyperlink" Target="https://optovikufa.ru/product/242131/vstraivaemyy-led-svetilnik-krug-9w6500kip40-dl-smartbuy-sbl-dl-9-65k/" TargetMode="External"/><Relationship Id="rId_hyperlink_5224" Type="http://schemas.openxmlformats.org/officeDocument/2006/relationships/hyperlink" Target="https://optovikufa.ru/product/242128/vstraivaemyy-led-svetilnik-krug-12w4000kip40-dl-smartbuy-sbl-dl-12-4k/" TargetMode="External"/><Relationship Id="rId_hyperlink_5225" Type="http://schemas.openxmlformats.org/officeDocument/2006/relationships/hyperlink" Target="https://optovikufa.ru/product/242129/vstraivaemyy-led-svetilnik-krug-12w6500kip40-dl-smartbuy-sbl-dl-12-65k/" TargetMode="External"/><Relationship Id="rId_hyperlink_5226" Type="http://schemas.openxmlformats.org/officeDocument/2006/relationships/hyperlink" Target="https://optovikufa.ru/product/240202/vstraivaemyy-led-svetilnik-krug-18w4000kip40-dl-smartbuy-sbl-dl-18-4k/" TargetMode="External"/><Relationship Id="rId_hyperlink_5227" Type="http://schemas.openxmlformats.org/officeDocument/2006/relationships/hyperlink" Target="https://optovikufa.ru/product/241039/vstraivaemyy-led-svetilnik-krug-18w6500kip40-dl-smartbuy-sbl-dl-18-65k/" TargetMode="External"/><Relationship Id="rId_hyperlink_5228" Type="http://schemas.openxmlformats.org/officeDocument/2006/relationships/hyperlink" Target="https://optovikufa.ru/product/239817/vstraivaemyy-led-svetilnik-krug-24w4000kip40-dl-smartbuy-sbl-dl-24-4k/" TargetMode="External"/><Relationship Id="rId_hyperlink_5229" Type="http://schemas.openxmlformats.org/officeDocument/2006/relationships/hyperlink" Target="https://optovikufa.ru/product/234261/svetilnik-svetodiodnyy-bezramochnyy-kvadrat-9vt-4000k-sbl-bdls-9-4k/" TargetMode="External"/><Relationship Id="rId_hyperlink_5230" Type="http://schemas.openxmlformats.org/officeDocument/2006/relationships/hyperlink" Target="https://optovikufa.ru/product/237055/svetilnik-svetodiodnyy-bezramochnyy-kvadrat-9vt-6500k-sbl-bdls-9-65k/" TargetMode="External"/><Relationship Id="rId_hyperlink_5231" Type="http://schemas.openxmlformats.org/officeDocument/2006/relationships/hyperlink" Target="https://optovikufa.ru/product/234258/svetilnik-svetodiodnyy-bezramochnyy-kvadrat-18vt-4000k-sbl-bdls-18-4k/" TargetMode="External"/><Relationship Id="rId_hyperlink_5232" Type="http://schemas.openxmlformats.org/officeDocument/2006/relationships/hyperlink" Target="https://optovikufa.ru/product/237051/svetilnik-svetodiodnyy-bezramochnyy-kvadrat-18vt-6500k-sbl-bdls-18-65k/" TargetMode="External"/><Relationship Id="rId_hyperlink_5233" Type="http://schemas.openxmlformats.org/officeDocument/2006/relationships/hyperlink" Target="https://optovikufa.ru/product/234259/svetilnik-svetodiodnyy-bezramochnyy-kvadrat-24vt-4000k-sbl-bdls-24-4k/" TargetMode="External"/><Relationship Id="rId_hyperlink_5234" Type="http://schemas.openxmlformats.org/officeDocument/2006/relationships/hyperlink" Target="https://optovikufa.ru/product/237052/svetilnik-svetodiodnyy-bezramochnyy-kvadrat-24vt-6500k-sbl-bdls-24-65k/" TargetMode="External"/><Relationship Id="rId_hyperlink_5235" Type="http://schemas.openxmlformats.org/officeDocument/2006/relationships/hyperlink" Target="https://optovikufa.ru/product/234260/svetilnik-svetodiodnyy-bezramochnyy-kvadrat-36vt-4000k-sbl-bdls-36-4k/" TargetMode="External"/><Relationship Id="rId_hyperlink_5236" Type="http://schemas.openxmlformats.org/officeDocument/2006/relationships/hyperlink" Target="https://optovikufa.ru/product/237053/svetilnik-svetodiodnyy-bezramochnyy-kvadrat-36vt-6500k-sbl-bdls-36-65k/" TargetMode="External"/><Relationship Id="rId_hyperlink_5237" Type="http://schemas.openxmlformats.org/officeDocument/2006/relationships/hyperlink" Target="https://optovikufa.ru/product/234257/svetilnik-svetodiodnyy-bezramochnyy-krug-9vt-4000k-sbl-bdl-9-4k/" TargetMode="External"/><Relationship Id="rId_hyperlink_5238" Type="http://schemas.openxmlformats.org/officeDocument/2006/relationships/hyperlink" Target="https://optovikufa.ru/product/237050/svetilnik-svetodiodnyy-bezramochnyy-krug-9vt-6500k-sbl-bdl-9-65k/" TargetMode="External"/><Relationship Id="rId_hyperlink_5239" Type="http://schemas.openxmlformats.org/officeDocument/2006/relationships/hyperlink" Target="https://optovikufa.ru/product/234256/svetilnik-svetodiodnyy-bezramochnyy-krug-24vt-4000k-sbl-bdl-24-4k/" TargetMode="External"/><Relationship Id="rId_hyperlink_5240" Type="http://schemas.openxmlformats.org/officeDocument/2006/relationships/hyperlink" Target="https://optovikufa.ru/product/237047/svetilnik-svetodiodnyy-bezramochnyy-krug-24vt-6500k-sbl-bdl-24-65k/" TargetMode="External"/><Relationship Id="rId_hyperlink_5241" Type="http://schemas.openxmlformats.org/officeDocument/2006/relationships/hyperlink" Target="https://optovikufa.ru/product/237048/svetilnik-svetodiodnyy-bezramochnyy-krug-36vt-4000k-sbl-bdl-36-4k/" TargetMode="External"/><Relationship Id="rId_hyperlink_5242" Type="http://schemas.openxmlformats.org/officeDocument/2006/relationships/hyperlink" Target="https://optovikufa.ru/product/237049/svetilnik-svetodiodnyy-bezramochnyy-krug-36vt-6500k-sbl-bdl-36-65k/" TargetMode="External"/><Relationship Id="rId_hyperlink_5243" Type="http://schemas.openxmlformats.org/officeDocument/2006/relationships/hyperlink" Target="https://optovikufa.ru/product/239704/podvesnoy-svetilnik-f2-led-dream/" TargetMode="External"/><Relationship Id="rId_hyperlink_5244" Type="http://schemas.openxmlformats.org/officeDocument/2006/relationships/hyperlink" Target="https://optovikufa.ru/product/240319/svetilnik-dlya-bani-i-sauny-ip65-e27-220v-60vt-45c-125c-uhl1-belyy-indupakovka/" TargetMode="External"/><Relationship Id="rId_hyperlink_5245" Type="http://schemas.openxmlformats.org/officeDocument/2006/relationships/hyperlink" Target="https://optovikufa.ru/product/241935/svetilnik-dlya-bani-i-sauny-ip65-e27-220v-60vt-45c-125c-uglovoy-uhl1-belyy-ind-upakovka/" TargetMode="External"/><Relationship Id="rId_hyperlink_5246" Type="http://schemas.openxmlformats.org/officeDocument/2006/relationships/hyperlink" Target="https://optovikufa.ru/product/240354/svetilnik-zhkh-dlya-vlazhnyh-pomescheniy-oval-100vt-uhl1-ip54-ind-upakovka/" TargetMode="External"/><Relationship Id="rId_hyperlink_5247" Type="http://schemas.openxmlformats.org/officeDocument/2006/relationships/hyperlink" Target="https://optovikufa.ru/product/242591/svetilnik-zhkh-dlya-vlazhnyh-pomescheniy-oval-60vt-uhl1-ip54-ind-upakovka/" TargetMode="External"/><Relationship Id="rId_hyperlink_5248" Type="http://schemas.openxmlformats.org/officeDocument/2006/relationships/hyperlink" Target="https://optovikufa.ru/product/234967/svetilnik-vstraivaemyy-pod-lampu-mr16-vypuklyy-zoloto-sbl-08gd-mr16/" TargetMode="External"/><Relationship Id="rId_hyperlink_5249" Type="http://schemas.openxmlformats.org/officeDocument/2006/relationships/hyperlink" Target="https://optovikufa.ru/product/234968/svetilnik-vstraivaemyy-pod-lampu-mr16-vypuklyy-nikel-sbl-08nc-mr16/" TargetMode="External"/><Relationship Id="rId_hyperlink_5250" Type="http://schemas.openxmlformats.org/officeDocument/2006/relationships/hyperlink" Target="https://optovikufa.ru/product/239108/svetilnik-vstraivaemyy-pod-lampu-mr16-belyy-sbl-03wh-mr16/" TargetMode="External"/><Relationship Id="rId_hyperlink_5251" Type="http://schemas.openxmlformats.org/officeDocument/2006/relationships/hyperlink" Target="https://optovikufa.ru/product/239110/svetilnik-vstraivaemyy-pod-lampu-mr16-belyy-ploskiy-sbl-07wh-mr16/" TargetMode="External"/><Relationship Id="rId_hyperlink_5252" Type="http://schemas.openxmlformats.org/officeDocument/2006/relationships/hyperlink" Target="https://optovikufa.ru/product/239112/svetilnik-vstraivaemyy-pod-lampu-mr16-belyy-ploskiy-sbl-08wh-mr16/" TargetMode="External"/><Relationship Id="rId_hyperlink_5253" Type="http://schemas.openxmlformats.org/officeDocument/2006/relationships/hyperlink" Target="https://optovikufa.ru/product/239109/svetilnik-vstraivaemyy-pod-lampu-mr16-zoloto-ploskiy-sbl-07gd-mr16/" TargetMode="External"/><Relationship Id="rId_hyperlink_5254" Type="http://schemas.openxmlformats.org/officeDocument/2006/relationships/hyperlink" Target="https://optovikufa.ru/product/239111/svetilnik-vstraivaemyy-pod-lampu-mr16-nikel-ploskiy-sbl-07nc-mr16/" TargetMode="External"/><Relationship Id="rId_hyperlink_5255" Type="http://schemas.openxmlformats.org/officeDocument/2006/relationships/hyperlink" Target="https://optovikufa.ru/product/239113/svetilnik-vstraivaemyy-pod-lampu-mr16-serebro-ploskiy-sbl-07sl-mr16/" TargetMode="External"/><Relationship Id="rId_hyperlink_5256" Type="http://schemas.openxmlformats.org/officeDocument/2006/relationships/hyperlink" Target="https://optovikufa.ru/product/226273/panel-svetodiodnaya-36w-smartbuy-unimat-sbl-uni-36w-65k/" TargetMode="External"/><Relationship Id="rId_hyperlink_5257" Type="http://schemas.openxmlformats.org/officeDocument/2006/relationships/hyperlink" Target="https://optovikufa.ru/product/160561/svetodiodnyy-led-svetilnik-yy-802-na-lipuchke-3w-3aaa-45348/" TargetMode="External"/><Relationship Id="rId_hyperlink_5258" Type="http://schemas.openxmlformats.org/officeDocument/2006/relationships/hyperlink" Target="https://optovikufa.ru/product/230021/svetodiodnyy-fonar-smartbuy-3vt-3aaa-chernyy-sbf-133-b/" TargetMode="External"/><Relationship Id="rId_hyperlink_5259" Type="http://schemas.openxmlformats.org/officeDocument/2006/relationships/hyperlink" Target="https://optovikufa.ru/product/236251/svetodiodnyy-fonar-s-datchikom-dvizheniya-i-sveta-6-led-smartbuy-3aaa-belyy-sbf-6-k/" TargetMode="External"/><Relationship Id="rId_hyperlink_5260" Type="http://schemas.openxmlformats.org/officeDocument/2006/relationships/hyperlink" Target="https://optovikufa.ru/product/219536/fonar-pv-801-cob-belyy/" TargetMode="External"/><Relationship Id="rId_hyperlink_5261" Type="http://schemas.openxmlformats.org/officeDocument/2006/relationships/hyperlink" Target="https://optovikufa.ru/product/240660/prozhektor-svetodiodnyy-100vt-6400k-9500lm-ip65-chernyy-feron/" TargetMode="External"/><Relationship Id="rId_hyperlink_5262" Type="http://schemas.openxmlformats.org/officeDocument/2006/relationships/hyperlink" Target="https://optovikufa.ru/product/223486/prozhektor-svetodiodnyy-100vt-6500k-ip65-chernyy-general-403114/" TargetMode="External"/><Relationship Id="rId_hyperlink_5263" Type="http://schemas.openxmlformats.org/officeDocument/2006/relationships/hyperlink" Target="https://optovikufa.ru/product/240651/prozhektor-svetodiodnyy-10vt-6400k-800lm-ip65-belyy-feron/" TargetMode="External"/><Relationship Id="rId_hyperlink_5264" Type="http://schemas.openxmlformats.org/officeDocument/2006/relationships/hyperlink" Target="https://optovikufa.ru/product/191529/prozhektor-svetodiodnyy-10vt-6400k-800lm-ip65-chernyy-feron/" TargetMode="External"/><Relationship Id="rId_hyperlink_5265" Type="http://schemas.openxmlformats.org/officeDocument/2006/relationships/hyperlink" Target="https://optovikufa.ru/product/223439/prozhektor-svetodiodnyy-10vt-6500k-860lm-ip65-belyy-general/" TargetMode="External"/><Relationship Id="rId_hyperlink_5266" Type="http://schemas.openxmlformats.org/officeDocument/2006/relationships/hyperlink" Target="https://optovikufa.ru/product/221703/prozhektor-svetodiodnyy-10vt-6500k-860lm-ip65-chernyy-general-s-sensorom-osvescheniya/" TargetMode="External"/><Relationship Id="rId_hyperlink_5267" Type="http://schemas.openxmlformats.org/officeDocument/2006/relationships/hyperlink" Target="https://optovikufa.ru/product/168413/prozhektor-svetodiodnyy-10vt-6500k-ip65-smartbuy-fl-sensor-sbl-flsen-10-65k/" TargetMode="External"/><Relationship Id="rId_hyperlink_5268" Type="http://schemas.openxmlformats.org/officeDocument/2006/relationships/hyperlink" Target="https://optovikufa.ru/product/224212/prozhektor-svetodiodnyy-10vt-6500k-ip65-smartbuy-fl-smd-white-sbl-flwhite-10-65k/" TargetMode="External"/><Relationship Id="rId_hyperlink_5269" Type="http://schemas.openxmlformats.org/officeDocument/2006/relationships/hyperlink" Target="https://optovikufa.ru/product/240661/prozhektor-svetodiodnyy-150vt-6400k-14250lm-ip65-chernyy-feron/" TargetMode="External"/><Relationship Id="rId_hyperlink_5270" Type="http://schemas.openxmlformats.org/officeDocument/2006/relationships/hyperlink" Target="https://optovikufa.ru/product/240662/prozhektor-svetodiodnyy-200vt-6400k-19000lm-ip65-chernyy-feron/" TargetMode="External"/><Relationship Id="rId_hyperlink_5271" Type="http://schemas.openxmlformats.org/officeDocument/2006/relationships/hyperlink" Target="https://optovikufa.ru/product/133449/prozhektor-svetodiodnyy-20vt-6400k-1900lm-ip65-belyy-feron/" TargetMode="External"/><Relationship Id="rId_hyperlink_5272" Type="http://schemas.openxmlformats.org/officeDocument/2006/relationships/hyperlink" Target="https://optovikufa.ru/product/133448/prozhektor-svetodiodnyy-20vt-6400k-1900lm-ip65-chernyy-feron/" TargetMode="External"/><Relationship Id="rId_hyperlink_5273" Type="http://schemas.openxmlformats.org/officeDocument/2006/relationships/hyperlink" Target="https://optovikufa.ru/product/223437/prozhektor-svetodiodnyy-20vt-6500k-ip65-belyy-general-403125/" TargetMode="External"/><Relationship Id="rId_hyperlink_5274" Type="http://schemas.openxmlformats.org/officeDocument/2006/relationships/hyperlink" Target="https://optovikufa.ru/product/217401/prozhektor-svetodiodnyy-20vt-6500k-ip65-chernyy-general-s-sensorom-osvescheniya/" TargetMode="External"/><Relationship Id="rId_hyperlink_5275" Type="http://schemas.openxmlformats.org/officeDocument/2006/relationships/hyperlink" Target="https://optovikufa.ru/product/240704/prozhektor-svetodiodnyy-20vt-6500k-ip65-chernyy-s-ik-datchikom-dvizheniya-general-403133/" TargetMode="External"/><Relationship Id="rId_hyperlink_5276" Type="http://schemas.openxmlformats.org/officeDocument/2006/relationships/hyperlink" Target="https://optovikufa.ru/product/131460/prozhektor-svetodiodnyy-30vt-6400k-2400lm-ip65-belyy-feron/" TargetMode="External"/><Relationship Id="rId_hyperlink_5277" Type="http://schemas.openxmlformats.org/officeDocument/2006/relationships/hyperlink" Target="https://optovikufa.ru/product/165059/prozhektor-svetodiodnyy-30vt-6400k-2400lm-ip65-chernyy-feron/" TargetMode="External"/><Relationship Id="rId_hyperlink_5278" Type="http://schemas.openxmlformats.org/officeDocument/2006/relationships/hyperlink" Target="https://optovikufa.ru/product/241829/prozhektor-svetodiodnyy-30vt-6500k-ip65-s-ik-datchikom-dvizheniya-general/" TargetMode="External"/><Relationship Id="rId_hyperlink_5279" Type="http://schemas.openxmlformats.org/officeDocument/2006/relationships/hyperlink" Target="https://optovikufa.ru/product/131451/prozhektor-svetodiodnyy-50vt-4000k-4000lm-ip65-chernyy-feron/" TargetMode="External"/><Relationship Id="rId_hyperlink_5280" Type="http://schemas.openxmlformats.org/officeDocument/2006/relationships/hyperlink" Target="https://optovikufa.ru/product/174583/prozhektor-svetodiodnyy-50vt-6400k-4000lm-ip65-belyy-feron/" TargetMode="External"/><Relationship Id="rId_hyperlink_5281" Type="http://schemas.openxmlformats.org/officeDocument/2006/relationships/hyperlink" Target="https://optovikufa.ru/product/241828/prozhektor-svetodiodnyy-50vt-6500k-ip65-s-ik-datchikom-dvizheniya-general/" TargetMode="External"/><Relationship Id="rId_hyperlink_5282" Type="http://schemas.openxmlformats.org/officeDocument/2006/relationships/hyperlink" Target="https://optovikufa.ru/product/224070/prozhektor-svetodiodnyy-50vt-6500k-ip65-chernyy-general/" TargetMode="External"/><Relationship Id="rId_hyperlink_5283" Type="http://schemas.openxmlformats.org/officeDocument/2006/relationships/hyperlink" Target="https://optovikufa.ru/product/240659/prozhektor-svetodiodnyy-70vt-6400k-6300lm-ip65-chernyy-feron/" TargetMode="External"/><Relationship Id="rId_hyperlink_5284" Type="http://schemas.openxmlformats.org/officeDocument/2006/relationships/hyperlink" Target="https://optovikufa.ru/product/232902/prozhektor-svetodiodnyy-70vt-6500k-ip65-chernyy-s-datchikom-dvizheniya-general-510473/" TargetMode="External"/><Relationship Id="rId_hyperlink_5285" Type="http://schemas.openxmlformats.org/officeDocument/2006/relationships/hyperlink" Target="https://optovikufa.ru/product/238949/svetilnik-na-solnechnoy-bataree-sh-52-1cob-6led-ip20-s-datchikom-sveta-3-rezhima/" TargetMode="External"/><Relationship Id="rId_hyperlink_5286" Type="http://schemas.openxmlformats.org/officeDocument/2006/relationships/hyperlink" Target="https://optovikufa.ru/product/240795/svetilnik-svetodiodnyy-smartbuy-10-vt-cob-na-solnechnyh-batareyah-s-datchikom-dvizheniya-chernyy-sbf-22-ms/" TargetMode="External"/><Relationship Id="rId_hyperlink_5287" Type="http://schemas.openxmlformats.org/officeDocument/2006/relationships/hyperlink" Target="https://optovikufa.ru/product/228079/svetilnik-svetodiodnyy-smartbuy-12vt-100led-na-solnechnyh-batareyah-datchik-dvizheniya-sbf-33-ms/" TargetMode="External"/><Relationship Id="rId_hyperlink_5288" Type="http://schemas.openxmlformats.org/officeDocument/2006/relationships/hyperlink" Target="https://optovikufa.ru/product/241927/svetilnik-ulichnyy-s-datchikom-dvizheniya-solar-powered-led-wall-light-jy-6009/" TargetMode="External"/><Relationship Id="rId_hyperlink_5289" Type="http://schemas.openxmlformats.org/officeDocument/2006/relationships/hyperlink" Target="https://optovikufa.ru/product/241447/modul-vyklyuchatelya-datchik-dvizheniya-12-24v-5a-dalnost-2m/" TargetMode="External"/><Relationship Id="rId_hyperlink_5290" Type="http://schemas.openxmlformats.org/officeDocument/2006/relationships/hyperlink" Target="https://optovikufa.ru/product/241542/modul-vyklyuchatelya-na-vzmah-regulirovka-yarkosti-12-24v-5a-rastoyanie-8sm/" TargetMode="External"/><Relationship Id="rId_hyperlink_5291" Type="http://schemas.openxmlformats.org/officeDocument/2006/relationships/hyperlink" Target="https://optovikufa.ru/product/240810/regulyator-yarkosti-dlya-svetodiodnyh-lent-dimmer-12v-24v-8a/" TargetMode="External"/><Relationship Id="rId_hyperlink_5292" Type="http://schemas.openxmlformats.org/officeDocument/2006/relationships/hyperlink" Target="https://optovikufa.ru/product/237992/regulyator-yarkosti-dlya-svetodiodnyh-lent-dimmer-12v-24v-30a/" TargetMode="External"/><Relationship Id="rId_hyperlink_5293" Type="http://schemas.openxmlformats.org/officeDocument/2006/relationships/hyperlink" Target="https://optovikufa.ru/product/220960/profil-gibkiy-dlya-svetodiodnoy-lenty-175h6mm-2m-general-gal-gls-2000-6-175/" TargetMode="External"/><Relationship Id="rId_hyperlink_5294" Type="http://schemas.openxmlformats.org/officeDocument/2006/relationships/hyperlink" Target="https://optovikufa.ru/product/220959/profil-dlya-svetodiodnoy-lenty-16h12mm-2m-general-gal-gls-2000-12-16/" TargetMode="External"/><Relationship Id="rId_hyperlink_5295" Type="http://schemas.openxmlformats.org/officeDocument/2006/relationships/hyperlink" Target="https://optovikufa.ru/product/220961/profil-uglovoy-dlya-svetodiodnoy-lenty-16h16mm-2m-general-gal-gls-2000-16-16/" TargetMode="External"/><Relationship Id="rId_hyperlink_5296" Type="http://schemas.openxmlformats.org/officeDocument/2006/relationships/hyperlink" Target="https://optovikufa.ru/product/146191/blok-pitaniya-dlya-led-lenty-12v-6w-05a-ip20-ecola-kitay-b2m006esb-556518/" TargetMode="External"/><Relationship Id="rId_hyperlink_5297" Type="http://schemas.openxmlformats.org/officeDocument/2006/relationships/hyperlink" Target="https://optovikufa.ru/product/230163/blok-pitaniya-dlya-led-lenty-12v-12w-1a-ip20-ecola-kitay-b0l012esb/" TargetMode="External"/><Relationship Id="rId_hyperlink_5298" Type="http://schemas.openxmlformats.org/officeDocument/2006/relationships/hyperlink" Target="https://optovikufa.ru/product/134564/blok-pitaniya-dlya-led-lenty-12v-15w-125a-ip20-ecola-kitay-b2l015esb-563242/" TargetMode="External"/><Relationship Id="rId_hyperlink_5299" Type="http://schemas.openxmlformats.org/officeDocument/2006/relationships/hyperlink" Target="https://optovikufa.ru/product/134565/blok-pitaniya-dlya-led-lenty-12v-25w-2a-ip20-ecola-kitay-b2l025esb-440709/" TargetMode="External"/><Relationship Id="rId_hyperlink_5300" Type="http://schemas.openxmlformats.org/officeDocument/2006/relationships/hyperlink" Target="https://optovikufa.ru/product/178174/blok-pitaniya-dlya-led-lenty-12v-25w-2a-ip20-ecola-kitay-b2t025esb/" TargetMode="External"/><Relationship Id="rId_hyperlink_5301" Type="http://schemas.openxmlformats.org/officeDocument/2006/relationships/hyperlink" Target="https://optovikufa.ru/product/230166/blok-pitaniya-dlya-led-lenty-12v-36w-3a-ip20-ecola-kitay-b0m036esb/" TargetMode="External"/><Relationship Id="rId_hyperlink_5302" Type="http://schemas.openxmlformats.org/officeDocument/2006/relationships/hyperlink" Target="https://optovikufa.ru/product/171916/blok-pitaniya-dlya-led-lenty-12v-38w-315a-p20-ecola-kitay-806033-interernyy-b2l038esb-440710/" TargetMode="External"/><Relationship Id="rId_hyperlink_5303" Type="http://schemas.openxmlformats.org/officeDocument/2006/relationships/hyperlink" Target="https://optovikufa.ru/product/229848/blok-pitaniya-dlya-led-lenty-12v-38w-ip20-ecola-kitay-2621818-interernyy-b2t038esb/" TargetMode="External"/><Relationship Id="rId_hyperlink_5304" Type="http://schemas.openxmlformats.org/officeDocument/2006/relationships/hyperlink" Target="https://optovikufa.ru/product/146190/blok-pitaniya-dlya-led-lenty-12v-60w-5a-ip20-ecola-kitay-b2l060esb-440711/" TargetMode="External"/><Relationship Id="rId_hyperlink_5305" Type="http://schemas.openxmlformats.org/officeDocument/2006/relationships/hyperlink" Target="https://optovikufa.ru/product/146185/blok-pitaniya-dlya-led-lenty-12v-80w-65a-ip20-ecola-kitay-b2l080esb-496671/" TargetMode="External"/><Relationship Id="rId_hyperlink_5306" Type="http://schemas.openxmlformats.org/officeDocument/2006/relationships/hyperlink" Target="https://optovikufa.ru/product/147894/blok-pitaniya-dlya-led-lenty-12v-100w-85a-ip20-ecola-kitay-b2l100esb-440712/" TargetMode="External"/><Relationship Id="rId_hyperlink_5307" Type="http://schemas.openxmlformats.org/officeDocument/2006/relationships/hyperlink" Target="https://optovikufa.ru/product/178092/blok-pitaniya-dlya-led-lenty-12v-200w-16a-ip20-ecola-kitay-b2l200esb-440714/" TargetMode="External"/><Relationship Id="rId_hyperlink_5308" Type="http://schemas.openxmlformats.org/officeDocument/2006/relationships/hyperlink" Target="https://optovikufa.ru/product/221676/blok-pitaniya-dlya-led-lenty-12v-250w-208a-ip20-interernyy-b2l250esb/" TargetMode="External"/><Relationship Id="rId_hyperlink_5309" Type="http://schemas.openxmlformats.org/officeDocument/2006/relationships/hyperlink" Target="https://optovikufa.ru/product/146188/blok-pitaniya-dlya-led-lenty-12v-400w-333a-ip53-ventilyator-ecola-kitay-b3l400esb/" TargetMode="External"/><Relationship Id="rId_hyperlink_5310" Type="http://schemas.openxmlformats.org/officeDocument/2006/relationships/hyperlink" Target="https://optovikufa.ru/product/222082/drayver-led-smartbuy-ip67-25w-dlya-led-lenty-sbl-ip67-driver-25w/" TargetMode="External"/><Relationship Id="rId_hyperlink_5311" Type="http://schemas.openxmlformats.org/officeDocument/2006/relationships/hyperlink" Target="https://optovikufa.ru/product/222083/drayver-led-smartbuy-ip67-40w-dlya-led-lenty-sbl-ip67-driver-40w-12v/" TargetMode="External"/><Relationship Id="rId_hyperlink_5312" Type="http://schemas.openxmlformats.org/officeDocument/2006/relationships/hyperlink" Target="https://optovikufa.ru/product/132498/konnektor-15-sm-pitanie-zazhim-2-h-kont-smd3528-sc28c1esb-440741/" TargetMode="External"/><Relationship Id="rId_hyperlink_5313" Type="http://schemas.openxmlformats.org/officeDocument/2006/relationships/hyperlink" Target="https://optovikufa.ru/product/237510/kontroller-dlya-svetodiodnoy-lenty-rgb-12v-144w-12a-c-ik-pultom-ecola-crs144esb/" TargetMode="External"/><Relationship Id="rId_hyperlink_5314" Type="http://schemas.openxmlformats.org/officeDocument/2006/relationships/hyperlink" Target="https://optovikufa.ru/product/178177/kontroller-dlya-svetodiodnoy-lenty-rgb-12v-216w24v432w18a-s-kolcevym-sensorombelym-radiopultom-ecola-rfc18wesb-601176/" TargetMode="External"/><Relationship Id="rId_hyperlink_5315" Type="http://schemas.openxmlformats.org/officeDocument/2006/relationships/hyperlink" Target="https://optovikufa.ru/product/226209/svetodiodnaya-lenta-smd-3528-6000k-ip20-60-svdm-11wm-1200lm-ecola-kitay-556841/" TargetMode="External"/><Relationship Id="rId_hyperlink_5316" Type="http://schemas.openxmlformats.org/officeDocument/2006/relationships/hyperlink" Target="https://optovikufa.ru/product/182932/svetodiodnaya-lenta-smd-3528-belyy-ip20-60-svdm-11wm-1200lm-4k-ecola-kitay-556840/" TargetMode="External"/><Relationship Id="rId_hyperlink_5317" Type="http://schemas.openxmlformats.org/officeDocument/2006/relationships/hyperlink" Target="https://optovikufa.ru/product/226252/svetodiodnaya-lenta-smd-5050-6000k-ip20-60-svdm-144wm-ecola-496756/" TargetMode="External"/><Relationship Id="rId_hyperlink_5318" Type="http://schemas.openxmlformats.org/officeDocument/2006/relationships/hyperlink" Target="https://optovikufa.ru/product/226247/svetodiodnaya-lenta-smd-5050-6000k-ip65-60-svdm-144wm-ecola-vlagozaschischennaya-600639/" TargetMode="External"/><Relationship Id="rId_hyperlink_5319" Type="http://schemas.openxmlformats.org/officeDocument/2006/relationships/hyperlink" Target="https://optovikufa.ru/product/220440/svetodiodnaya-lenta-smd-5050-rgb-ip20-60-svdm-144wm-ecola-440701/" TargetMode="External"/><Relationship Id="rId_hyperlink_5320" Type="http://schemas.openxmlformats.org/officeDocument/2006/relationships/hyperlink" Target="https://optovikufa.ru/product/178181/svetodiodnaya-lenta-smd-5050-belyy-4200k-ip20-60-svdm-144wm-840lm-ecola-440700/" TargetMode="External"/><Relationship Id="rId_hyperlink_5321" Type="http://schemas.openxmlformats.org/officeDocument/2006/relationships/hyperlink" Target="https://optovikufa.ru/product/225667/svetodiodnaya-lenta-smd-5050-belyy-4200k-ip20-60-svdm-19wm-1200lm-ecola-556514/" TargetMode="External"/><Relationship Id="rId_hyperlink_5322" Type="http://schemas.openxmlformats.org/officeDocument/2006/relationships/hyperlink" Target="https://optovikufa.ru/product/229851/svetodiodnaya-lenta-smd-5050-belyy-dnevnoy-ip65-60-svdm-19wm-1200lm-6000k-ecola-583626/" TargetMode="External"/><Relationship Id="rId_hyperlink_5323" Type="http://schemas.openxmlformats.org/officeDocument/2006/relationships/hyperlink" Target="https://optovikufa.ru/product/229850/svetodiodnaya-lenta-smd-5050-belyy-holodnyy-ip65-60-svdm-19wm-1200lm-4200k-ecola-556516/" TargetMode="External"/><Relationship Id="rId_hyperlink_5324" Type="http://schemas.openxmlformats.org/officeDocument/2006/relationships/hyperlink" Target="https://optovikufa.ru/product/226208/svetodiodnaya-lenta-smd-5630-6000k-ip20-60-svdm-19wm-1200lm-ecola-556515/" TargetMode="External"/><Relationship Id="rId_hyperlink_5325" Type="http://schemas.openxmlformats.org/officeDocument/2006/relationships/hyperlink" Target="https://optovikufa.ru/product/146182/blok-pitaniya-dlya-led-lenty-24v-60w-25a-ip20-ecola-kitay-d2l060esb/" TargetMode="External"/><Relationship Id="rId_hyperlink_5326" Type="http://schemas.openxmlformats.org/officeDocument/2006/relationships/hyperlink" Target="https://optovikufa.ru/product/146179/blok-pitaniya-dlya-led-lenty-24v-100w-4a-ip20-ecola-kitay-d2l100esb-540702/" TargetMode="External"/><Relationship Id="rId_hyperlink_5327" Type="http://schemas.openxmlformats.org/officeDocument/2006/relationships/hyperlink" Target="https://optovikufa.ru/product/240875/blok-pitaniya-dlya-led-lenty-5v-50w-10a-ip20-lp550t/" TargetMode="External"/><Relationship Id="rId_hyperlink_5328" Type="http://schemas.openxmlformats.org/officeDocument/2006/relationships/hyperlink" Target="https://optovikufa.ru/product/240876/blok-pitaniya-dlya-led-lenty-5v-75w-15a-ip20-lp575t/" TargetMode="External"/><Relationship Id="rId_hyperlink_5329" Type="http://schemas.openxmlformats.org/officeDocument/2006/relationships/hyperlink" Target="https://optovikufa.ru/product/240564/svetodiodnyy-led-modul-m-smartbuy-12w-4000k-sbl-m-12w-4k/" TargetMode="External"/><Relationship Id="rId_hyperlink_5330" Type="http://schemas.openxmlformats.org/officeDocument/2006/relationships/hyperlink" Target="https://optovikufa.ru/product/236483/svetodiodnyy-led-modul-m-smartbuy-18w-4000k-sbl-m-18w-4k/" TargetMode="External"/><Relationship Id="rId_hyperlink_5331" Type="http://schemas.openxmlformats.org/officeDocument/2006/relationships/hyperlink" Target="https://optovikufa.ru/product/242431/svetodiodnyy-led-modul-m-smartbuy-18w-6500k-sbl-m-18w-65k/" TargetMode="External"/><Relationship Id="rId_hyperlink_5332" Type="http://schemas.openxmlformats.org/officeDocument/2006/relationships/hyperlink" Target="https://optovikufa.ru/product/242432/svetodiodnyy-led-modul-m-smartbuy-24w-4000k-sbl-m-24w-4k/" TargetMode="External"/><Relationship Id="rId_hyperlink_5333" Type="http://schemas.openxmlformats.org/officeDocument/2006/relationships/hyperlink" Target="https://optovikufa.ru/product/242433/svetodiodnyy-led-modul-m-smartbuy-24w-6500k-sbl-m-24w-65k/" TargetMode="External"/><Relationship Id="rId_hyperlink_5334" Type="http://schemas.openxmlformats.org/officeDocument/2006/relationships/hyperlink" Target="https://optovikufa.ru/product/236209/svetodiodnyy-led-modul-m-smartbuy-36w-4000k-sbl-m-36w-4k/" TargetMode="External"/><Relationship Id="rId_hyperlink_5335" Type="http://schemas.openxmlformats.org/officeDocument/2006/relationships/hyperlink" Target="https://optovikufa.ru/product/242434/svetodiodnyy-led-modul-m-smartbuy-36w-6500k-sbl-m-36w-65k/" TargetMode="External"/><Relationship Id="rId_hyperlink_5336" Type="http://schemas.openxmlformats.org/officeDocument/2006/relationships/hyperlink" Target="https://optovikufa.ru/product/235712/svetodiodnyy-modul-k-lyustre-na-magnitah-osnova-alyuminiy-v-komplekte-s-blokom-pitaniya-120vt-3-rezhima/" TargetMode="External"/><Relationship Id="rId_hyperlink_5337" Type="http://schemas.openxmlformats.org/officeDocument/2006/relationships/hyperlink" Target="https://optovikufa.ru/product/236391/svetodiodnyy-modul-k-lyustre-na-magnitah-osnova-alyuminiy-v-komplekte-s-blokom-pitaniya-48vt-3-rezhima/" TargetMode="External"/><Relationship Id="rId_hyperlink_5338" Type="http://schemas.openxmlformats.org/officeDocument/2006/relationships/hyperlink" Target="https://optovikufa.ru/product/242466/svetodiodnyy-modul-k-lyustre-na-magnitah-osnova-alyuminiy-v-komplekte-s-blokom-pitaniya-72vt/" TargetMode="External"/><Relationship Id="rId_hyperlink_5339" Type="http://schemas.openxmlformats.org/officeDocument/2006/relationships/hyperlink" Target="https://optovikufa.ru/product/242728/svetodiodnyy-modul-k-lyustre-na-magnitah-osnova-alyuminiy-v-komplekte-s-blokom-pitaniya-72vt-3-rezhima/" TargetMode="External"/><Relationship Id="rId_hyperlink_5340" Type="http://schemas.openxmlformats.org/officeDocument/2006/relationships/hyperlink" Target="https://optovikufa.ru/product/242594/svetodiodnyy-modul-k-lyustre-na-magnitah-osnova-alyuminiy-v-komplekte-s-blokom-pitaniya-96vt-3-rezhima/" TargetMode="External"/><Relationship Id="rId_hyperlink_5341" Type="http://schemas.openxmlformats.org/officeDocument/2006/relationships/hyperlink" Target="https://optovikufa.ru/product/235169/svetodiodnaya-lenta-neonovaya-belyy-12v-3m/" TargetMode="External"/><Relationship Id="rId_hyperlink_5342" Type="http://schemas.openxmlformats.org/officeDocument/2006/relationships/hyperlink" Target="https://optovikufa.ru/product/220515/svetodiodnyy-modul-smd-3535-krug-matovyy-plafon-2w-ip65-10/" TargetMode="External"/><Relationship Id="rId_hyperlink_5343" Type="http://schemas.openxmlformats.org/officeDocument/2006/relationships/hyperlink" Target="https://optovikufa.ru/product/220513/svetodiodnyy-modul-smd-5050-krug-2w-ip30-10/" TargetMode="External"/><Relationship Id="rId_hyperlink_5344" Type="http://schemas.openxmlformats.org/officeDocument/2006/relationships/hyperlink" Target="https://optovikufa.ru/product/158660/svetodiodnyy-modul-smd-5050-oval-2w-belyy-47627-10/" TargetMode="External"/><Relationship Id="rId_hyperlink_5345" Type="http://schemas.openxmlformats.org/officeDocument/2006/relationships/hyperlink" Target="https://optovikufa.ru/product/241103/girlyanda-bahroma-shirina-3m-vysota-07m-120led-220v-teplyy-belyy-funray-ic-120w/" TargetMode="External"/><Relationship Id="rId_hyperlink_5346" Type="http://schemas.openxmlformats.org/officeDocument/2006/relationships/hyperlink" Target="https://optovikufa.ru/product/238189/girlyanda-bahroma-shirina-3m-vysota-07m-120led-220v-belyy-funray-ic-120w/" TargetMode="External"/><Relationship Id="rId_hyperlink_5347" Type="http://schemas.openxmlformats.org/officeDocument/2006/relationships/hyperlink" Target="https://optovikufa.ru/product/241104/girlyanda-bahroma-shirina-3m-vysota-07m-120led-220v-belyy-funray-ic-120w/" TargetMode="External"/><Relationship Id="rId_hyperlink_5348" Type="http://schemas.openxmlformats.org/officeDocument/2006/relationships/hyperlink" Target="https://optovikufa.ru/product/241129/girlyanda-bahroma-svetodiodnaya-so-snezhinkami-shirina-2m-vysota-06m-ip20-100led-220v-teplyy-belyy-funray/" TargetMode="External"/><Relationship Id="rId_hyperlink_5349" Type="http://schemas.openxmlformats.org/officeDocument/2006/relationships/hyperlink" Target="https://optovikufa.ru/product/241108/girlyanda-zanaves-svetodiodnaya-2115m-200led-ip20-teplyy-belyy-prozrachnyy-shnur-15m-220v-funray/" TargetMode="External"/><Relationship Id="rId_hyperlink_5350" Type="http://schemas.openxmlformats.org/officeDocument/2006/relationships/hyperlink" Target="https://optovikufa.ru/product/241107/girlyanda-zanaves-svetodiodnaya-2115m-200led-ip20-holodnyy-belyy-prozrachnyy-shnur-15m-220v-funray/" TargetMode="External"/><Relationship Id="rId_hyperlink_5351" Type="http://schemas.openxmlformats.org/officeDocument/2006/relationships/hyperlink" Target="https://optovikufa.ru/product/241109/girlyanda-zanaves-svetodiodnaya-325m-320led-ip20-teplyy-belyy-prozrachnyy-shnur-25m-220v-funray/" TargetMode="External"/><Relationship Id="rId_hyperlink_5352" Type="http://schemas.openxmlformats.org/officeDocument/2006/relationships/hyperlink" Target="https://optovikufa.ru/product/241102/girlyanda-luchiki-svetodiodnaya-10m-100led-multi-ip20-temno-zelenyy-shnur-07m-kontroller-220v-funray/" TargetMode="External"/><Relationship Id="rId_hyperlink_5353" Type="http://schemas.openxmlformats.org/officeDocument/2006/relationships/hyperlink" Target="https://optovikufa.ru/product/241101/girlyanda-luchiki-svetodiodnaya-5m-60led-multi-ip20-temno-zelenyy-shnur-07m-kontroller-220v-funray/" TargetMode="External"/><Relationship Id="rId_hyperlink_5354" Type="http://schemas.openxmlformats.org/officeDocument/2006/relationships/hyperlink" Target="https://optovikufa.ru/product/241099/girlyanda-nit-svetodiodnaya-10m-100led-teplyy-belyy-ip20-serebr-shnur-15m-220v-funray/" TargetMode="External"/><Relationship Id="rId_hyperlink_5355" Type="http://schemas.openxmlformats.org/officeDocument/2006/relationships/hyperlink" Target="https://optovikufa.ru/product/241100/girlyanda-nit-svetodiodnaya-10m-100led-fioletovyy-ip20-serebr-shnur-15m-220v-funray/" TargetMode="External"/><Relationship Id="rId_hyperlink_5356" Type="http://schemas.openxmlformats.org/officeDocument/2006/relationships/hyperlink" Target="https://optovikufa.ru/product/241098/girlyanda-risovaya-svetodiodnaya-10m-100led-ip20-multi-temno-zelenyy-shnur-07m-220v-kontroller-funray/" TargetMode="External"/><Relationship Id="rId_hyperlink_5357" Type="http://schemas.openxmlformats.org/officeDocument/2006/relationships/hyperlink" Target="https://optovikufa.ru/product/241096/girlyanda-risovaya-svetodiodnaya-10m-100led-ip20-siniy-temno-zelenyy-shnur-07m-220v-kontroller-funray/" TargetMode="External"/><Relationship Id="rId_hyperlink_5358" Type="http://schemas.openxmlformats.org/officeDocument/2006/relationships/hyperlink" Target="https://optovikufa.ru/product/241095/girlyanda-risovaya-svetodiodnaya-10m-100led-ip20-teplyy-belyy-temno-zelenyy-shnur-07m-220v-kontroller-funray/" TargetMode="External"/><Relationship Id="rId_hyperlink_5359" Type="http://schemas.openxmlformats.org/officeDocument/2006/relationships/hyperlink" Target="https://optovikufa.ru/product/241097/girlyanda-risovaya-svetodiodnaya-5m-40led-ip20-multi-temno-zelenyy-shnur-07m-220v-kontroller-funray/" TargetMode="External"/><Relationship Id="rId_hyperlink_5360" Type="http://schemas.openxmlformats.org/officeDocument/2006/relationships/hyperlink" Target="https://optovikufa.ru/product/241106/girlyanda-svetodiodnaya-setka-144led-115m-multi-ip20-prozrachnyy-shnur-15m-kontroller-funray/" TargetMode="External"/><Relationship Id="rId_hyperlink_5361" Type="http://schemas.openxmlformats.org/officeDocument/2006/relationships/hyperlink" Target="https://optovikufa.ru/product/241105/girlyanda-svetodiodnaya-setka-144led-115m-holodnyy-belyy-ip20-prozrachnyy-shnur-15m-kontroller-funray/" TargetMode="External"/><Relationship Id="rId_hyperlink_5362" Type="http://schemas.openxmlformats.org/officeDocument/2006/relationships/hyperlink" Target="https://optovikufa.ru/product/235967/girlyanda-svetodiodnaya-setka-320led-32m-prozrachnyy-shnur-multi-ml-320m/" TargetMode="External"/><Relationship Id="rId_hyperlink_5363" Type="http://schemas.openxmlformats.org/officeDocument/2006/relationships/hyperlink" Target="https://optovikufa.ru/product/235969/girlyanda-svetodiodnaya-setka-320led-32m-prozrachnyy-shnur-teplyy-svet-ml-320ww/" TargetMode="External"/><Relationship Id="rId_hyperlink_5364" Type="http://schemas.openxmlformats.org/officeDocument/2006/relationships/hyperlink" Target="https://optovikufa.ru/product/235968/girlyanda-svetodiodnaya-setka-320led-32m-prozrachnyy-shnur-holodnyy-svet-ml-320w/" TargetMode="External"/><Relationship Id="rId_hyperlink_5365" Type="http://schemas.openxmlformats.org/officeDocument/2006/relationships/hyperlink" Target="https://optovikufa.ru/product/235965/girlyanda-svetodiodnaya-shariki-100led-10m-chernyy-shnur-multi-bl-10100m/" TargetMode="External"/><Relationship Id="rId_hyperlink_5366" Type="http://schemas.openxmlformats.org/officeDocument/2006/relationships/hyperlink" Target="https://optovikufa.ru/product/235966/girlyanda-svetodiodnaya-shariki-40led-5m-chernyy-shnur-multi-bl-550m/" TargetMode="External"/><Relationship Id="rId_hyperlink_5367" Type="http://schemas.openxmlformats.org/officeDocument/2006/relationships/hyperlink" Target="https://optovikufa.ru/product/241135/girlyanda-nit-uld-s1000-100dta-100led-teplbelyy-10m-8-rezh-prozrprovod-ip20-uniel/" TargetMode="External"/><Relationship Id="rId_hyperlink_5368" Type="http://schemas.openxmlformats.org/officeDocument/2006/relationships/hyperlink" Target="https://optovikufa.ru/product/241670/girlyanda-shtora-s-kryuchkom-300led-33m-usb-multicvet-ogonek-og-ldg22/" TargetMode="External"/><Relationship Id="rId_hyperlink_5369" Type="http://schemas.openxmlformats.org/officeDocument/2006/relationships/hyperlink" Target="https://optovikufa.ru/product/235937/udlinitel-dlya-girlyand-prozrachnyy-10m/" TargetMode="External"/><Relationship Id="rId_hyperlink_5370" Type="http://schemas.openxmlformats.org/officeDocument/2006/relationships/hyperlink" Target="https://optovikufa.ru/product/231369/udlinitel-dlya-girlyand-prozrachnyy-5m/" TargetMode="External"/><Relationship Id="rId_hyperlink_5371" Type="http://schemas.openxmlformats.org/officeDocument/2006/relationships/hyperlink" Target="https://optovikufa.ru/product/235938/udlinitel-dlya-girlyand-prozrachnyy-5m-ot-ele02/" TargetMode="External"/><Relationship Id="rId_hyperlink_5372" Type="http://schemas.openxmlformats.org/officeDocument/2006/relationships/hyperlink" Target="https://optovikufa.ru/product/125725/lazer-ukazka-zelenyy-svet4-nasadki-pitanie-2aaa/" TargetMode="External"/><Relationship Id="rId_hyperlink_5373" Type="http://schemas.openxmlformats.org/officeDocument/2006/relationships/hyperlink" Target="https://optovikufa.ru/product/233917/lazernaya-ustanovka-b52-waterfall-220v-5cv-svecheniya-s-pultom/" TargetMode="External"/><Relationship Id="rId_hyperlink_5374" Type="http://schemas.openxmlformats.org/officeDocument/2006/relationships/hyperlink" Target="https://optovikufa.ru/product/236531/lazernyy-proektor-zvezdnoe-nebo/" TargetMode="External"/><Relationship Id="rId_hyperlink_5375" Type="http://schemas.openxmlformats.org/officeDocument/2006/relationships/hyperlink" Target="https://optovikufa.ru/product/231315/svetovaya-ustanovka-11-zelenyy/" TargetMode="External"/><Relationship Id="rId_hyperlink_5376" Type="http://schemas.openxmlformats.org/officeDocument/2006/relationships/hyperlink" Target="https://optovikufa.ru/product/231318/svetovaya-ustanovka-11-zelenyy/" TargetMode="External"/><Relationship Id="rId_hyperlink_5377" Type="http://schemas.openxmlformats.org/officeDocument/2006/relationships/hyperlink" Target="https://optovikufa.ru/product/234049/svetovaya-ustanovka-14/" TargetMode="External"/><Relationship Id="rId_hyperlink_5378" Type="http://schemas.openxmlformats.org/officeDocument/2006/relationships/hyperlink" Target="https://optovikufa.ru/product/234048/svetovaya-ustanovka-og-lds05-siniy/" TargetMode="External"/><Relationship Id="rId_hyperlink_5379" Type="http://schemas.openxmlformats.org/officeDocument/2006/relationships/hyperlink" Target="https://optovikufa.ru/product/234050/svetovaya-ustanovka-og-lds07-siniy/" TargetMode="External"/><Relationship Id="rId_hyperlink_5380" Type="http://schemas.openxmlformats.org/officeDocument/2006/relationships/hyperlink" Target="https://optovikufa.ru/product/236436/svetovaya-ustanovka-og-lds07-chernyy/" TargetMode="External"/><Relationship Id="rId_hyperlink_5381" Type="http://schemas.openxmlformats.org/officeDocument/2006/relationships/hyperlink" Target="https://optovikufa.ru/product/241679/svetovaya-ustanovka-11-zelenyy/" TargetMode="External"/><Relationship Id="rId_hyperlink_5382" Type="http://schemas.openxmlformats.org/officeDocument/2006/relationships/hyperlink" Target="https://optovikufa.ru/product/241680/svetovaya-ustanovka-14/" TargetMode="External"/><Relationship Id="rId_hyperlink_5383" Type="http://schemas.openxmlformats.org/officeDocument/2006/relationships/hyperlink" Target="https://optovikufa.ru/product/241681/svetovaya-ustanovka-14/" TargetMode="External"/><Relationship Id="rId_hyperlink_5384" Type="http://schemas.openxmlformats.org/officeDocument/2006/relationships/hyperlink" Target="https://optovikufa.ru/product/241682/svetovaya-ustanovka-14/" TargetMode="External"/><Relationship Id="rId_hyperlink_5385" Type="http://schemas.openxmlformats.org/officeDocument/2006/relationships/hyperlink" Target="https://optovikufa.ru/product/241119/svetodiodnaya-sistema-makushka-na-el-b52-10led-2aa-krasnyy/" TargetMode="External"/><Relationship Id="rId_hyperlink_5386" Type="http://schemas.openxmlformats.org/officeDocument/2006/relationships/hyperlink" Target="https://optovikufa.ru/product/124810/ukrashenie-na-stenu-ded-moroz-girlyanda-e09-/" TargetMode="External"/><Relationship Id="rId_hyperlink_5387" Type="http://schemas.openxmlformats.org/officeDocument/2006/relationships/hyperlink" Target="https://optovikufa.ru/product/236043/datchik-dvizheniya-vstraivaemyy-v-stenu-500vt-6m-ip20-s-datchikom-zvuka-smartbuy-sbl-ms-014/" TargetMode="External"/><Relationship Id="rId_hyperlink_5388" Type="http://schemas.openxmlformats.org/officeDocument/2006/relationships/hyperlink" Target="https://optovikufa.ru/product/220845/datchik-dvizheniya-vstraivaemyy-v-stenu-500vt-9m-ip20-s-datchikom-zvuka-smartbuy-sbl-ms-003/" TargetMode="External"/><Relationship Id="rId_hyperlink_5389" Type="http://schemas.openxmlformats.org/officeDocument/2006/relationships/hyperlink" Target="https://optovikufa.ru/product/146336/datchik-dvizheniya-infrakrasnyy-v-patron-e27-360-60vt-6m-ip20-smartbuy-sbl-ms-010/" TargetMode="External"/><Relationship Id="rId_hyperlink_5390" Type="http://schemas.openxmlformats.org/officeDocument/2006/relationships/hyperlink" Target="https://optovikufa.ru/product/220844/datchik-dvizheniya-infrakrasnyy-vstraivaemyy-1200vt-6m-ip20-smartbuy-sbl-ms-017/" TargetMode="External"/><Relationship Id="rId_hyperlink_5391" Type="http://schemas.openxmlformats.org/officeDocument/2006/relationships/hyperlink" Target="https://optovikufa.ru/product/221735/datchik-dvizheniya-infrakrasnyy-nastennyy-1200vt-12m-ip44-smartbuy-sbl-ms-005/" TargetMode="External"/><Relationship Id="rId_hyperlink_5392" Type="http://schemas.openxmlformats.org/officeDocument/2006/relationships/hyperlink" Target="https://optovikufa.ru/product/146337/datchik-dvizheniya-infrakrasnyy-nastennyy-1200vt-do-12m-ip44-smartbuy-sbl-ms-008/" TargetMode="External"/><Relationship Id="rId_hyperlink_5393" Type="http://schemas.openxmlformats.org/officeDocument/2006/relationships/hyperlink" Target="https://optovikufa.ru/product/146338/datchik-dvizheniya-infrakrasnyy-nastennyy-1200vt-do-12m-ip44-smartbuy-sbl-ms-009/" TargetMode="External"/><Relationship Id="rId_hyperlink_5394" Type="http://schemas.openxmlformats.org/officeDocument/2006/relationships/hyperlink" Target="https://optovikufa.ru/product/221736/datchik-dvizheniya-infrakrasnyy-nastennyy-800vt-12m-ip44-smartbuy-sbl-ms-007/" TargetMode="External"/><Relationship Id="rId_hyperlink_5395" Type="http://schemas.openxmlformats.org/officeDocument/2006/relationships/hyperlink" Target="https://optovikufa.ru/product/146339/datchik-dvizheniya-infrakrasnyy-potolochnyy-1200vt-6m-ip33-smartbuy-sbl-ms-011/" TargetMode="External"/><Relationship Id="rId_hyperlink_5396" Type="http://schemas.openxmlformats.org/officeDocument/2006/relationships/hyperlink" Target="https://optovikufa.ru/product/146340/datchik-dvizheniya-infrakrasnyy-potolochnyy-1200vt-8m-ip33-smartbuy-sbl-ms-024/" TargetMode="External"/><Relationship Id="rId_hyperlink_5397" Type="http://schemas.openxmlformats.org/officeDocument/2006/relationships/hyperlink" Target="https://optovikufa.ru/product/220846/datchik-dvizheniya-infrakrasnyy-potolochnyy-800vt-4m-ip20-smartbuy-sbl-ms-012/" TargetMode="External"/><Relationship Id="rId_hyperlink_5398" Type="http://schemas.openxmlformats.org/officeDocument/2006/relationships/hyperlink" Target="https://optovikufa.ru/product/235318/komplekt-dlya-besprovodnogo-upravleniya-osvescheniem-2-kanal-craunot-37237/" TargetMode="External"/><Relationship Id="rId_hyperlink_5399" Type="http://schemas.openxmlformats.org/officeDocument/2006/relationships/hyperlink" Target="https://optovikufa.ru/product/235319/komplekt-dlya-besprovodnogo-upravleniya-osvescheniem-2-kanala-craunot-31391/" TargetMode="External"/><Relationship Id="rId_hyperlink_5400" Type="http://schemas.openxmlformats.org/officeDocument/2006/relationships/hyperlink" Target="https://optovikufa.ru/product/160491/fotorele-smartbuy-6a-1400vt-ip44-sbl-fr-600/" TargetMode="External"/><Relationship Id="rId_hyperlink_5401" Type="http://schemas.openxmlformats.org/officeDocument/2006/relationships/hyperlink" Target="https://optovikufa.ru/product/160489/fotorele-smartbuy-10a-2200vt-ip44-sbl-fr-601/" TargetMode="External"/><Relationship Id="rId_hyperlink_5402" Type="http://schemas.openxmlformats.org/officeDocument/2006/relationships/hyperlink" Target="https://optovikufa.ru/product/160490/fotorele-smartbuy-20a-4400vt-ip44-sbl-fr-602/" TargetMode="External"/><Relationship Id="rId_hyperlink_5403" Type="http://schemas.openxmlformats.org/officeDocument/2006/relationships/hyperlink" Target="https://optovikufa.ru/product/147815/lampa-ikzk-r127-e27-250w-infrakrasnaya-zerkalnaya-dlya-obogreva-rasteniy-i-zhivotnyh/" TargetMode="External"/><Relationship Id="rId_hyperlink_5404" Type="http://schemas.openxmlformats.org/officeDocument/2006/relationships/hyperlink" Target="https://optovikufa.ru/product/222479/lampa-svetodiodnaya-fito-e27-17w-dlya-rasteniy-smartbuy-sbl-a80-17-fito-e27/" TargetMode="External"/><Relationship Id="rId_hyperlink_5405" Type="http://schemas.openxmlformats.org/officeDocument/2006/relationships/hyperlink" Target="https://optovikufa.ru/product/231718/prozhektor-svetodiodnyy-30w-1300k-ip65-smartbuy-fl-fito-sbl-flfito-30-65k/" TargetMode="External"/><Relationship Id="rId_hyperlink_5406" Type="http://schemas.openxmlformats.org/officeDocument/2006/relationships/hyperlink" Target="https://optovikufa.ru/product/231719/prozhektor-svetodiodnyy-50w-1300k-ip65-smartbuy-fl-fito-sbl-flfito-50-65k/" TargetMode="External"/><Relationship Id="rId_hyperlink_5407" Type="http://schemas.openxmlformats.org/officeDocument/2006/relationships/hyperlink" Target="https://optovikufa.ru/product/228200/taymer-s-vilkoy-i-razemom-ln-dlya-fito-svet-kov-220v-150w-provod-2m-ust-e32-white-2m-uniel/" TargetMode="External"/><Relationship Id="rId_hyperlink_5408" Type="http://schemas.openxmlformats.org/officeDocument/2006/relationships/hyperlink" Target="https://optovikufa.ru/product/228201/taymer-s-vilkoy-i-razemom-lng-dlya-fitosvet-kov-220v-150w-provod-2m-ust-e33-white-2m-uniel/" TargetMode="External"/><Relationship Id="rId_hyperlink_5409" Type="http://schemas.openxmlformats.org/officeDocument/2006/relationships/hyperlink" Target="https://optovikufa.ru/product/240951/antizapotevatel-avs-sredstvo-dlya-predotvrascheniya-zapotevaniya-stekol-i-zerkal-avtomobilya-sprey-300ml/" TargetMode="External"/><Relationship Id="rId_hyperlink_5410" Type="http://schemas.openxmlformats.org/officeDocument/2006/relationships/hyperlink" Target="https://optovikufa.ru/product/241585/antizapotevatel-avs-sredstvo-dlya-predotvrascheniya-zapotevaniya-stekol-i-zerkal-avtomobilya-sprey-300ml/" TargetMode="External"/><Relationship Id="rId_hyperlink_5411" Type="http://schemas.openxmlformats.org/officeDocument/2006/relationships/hyperlink" Target="https://optovikufa.ru/product/242065/bystryy-start-astrohim-aerozol-335ml-ac-111/" TargetMode="External"/><Relationship Id="rId_hyperlink_5412" Type="http://schemas.openxmlformats.org/officeDocument/2006/relationships/hyperlink" Target="https://optovikufa.ru/product/242064/bystryy-start-avs-dlya-benzinovyh-i-dizelnyh-dvigateley-aerozol-520ml/" TargetMode="External"/><Relationship Id="rId_hyperlink_5413" Type="http://schemas.openxmlformats.org/officeDocument/2006/relationships/hyperlink" Target="https://optovikufa.ru/product/122103/bystryy-start-avs-dlya-benzinovyh-i-dizelnyh-dvigateley-aerozol-520ml/" TargetMode="External"/><Relationship Id="rId_hyperlink_5414" Type="http://schemas.openxmlformats.org/officeDocument/2006/relationships/hyperlink" Target="https://optovikufa.ru/product/240824/bystryy-start-aerozol-250ml/" TargetMode="External"/><Relationship Id="rId_hyperlink_5415" Type="http://schemas.openxmlformats.org/officeDocument/2006/relationships/hyperlink" Target="https://optovikufa.ru/product/241763/zhidkiy-klyuch-avs-520ml-aerozol-s-disulfidom-molitbena-avk-837/" TargetMode="External"/><Relationship Id="rId_hyperlink_5416" Type="http://schemas.openxmlformats.org/officeDocument/2006/relationships/hyperlink" Target="https://optovikufa.ru/product/227886/razmorazhivatel-dlya-zamkov-60ml-flakon-3ton/" TargetMode="External"/><Relationship Id="rId_hyperlink_5417" Type="http://schemas.openxmlformats.org/officeDocument/2006/relationships/hyperlink" Target="https://optovikufa.ru/product/241764/razmorazhivatel-dlya-zamkov-60ml-flakon-s-silikonom-3ton/" TargetMode="External"/><Relationship Id="rId_hyperlink_5418" Type="http://schemas.openxmlformats.org/officeDocument/2006/relationships/hyperlink" Target="https://optovikufa.ru/product/137565/razmorazhivatel-zamkov-s-silikonom-avs-predotvraschaet-povtornoe-zamerzanie-vytesnyaet-vlagu-i-zaschischaet-ot-korrozii-tyubik-60ml/" TargetMode="External"/><Relationship Id="rId_hyperlink_5419" Type="http://schemas.openxmlformats.org/officeDocument/2006/relationships/hyperlink" Target="https://optovikufa.ru/product/237846/ochistitel-dvigatelya-automobile-440ml/" TargetMode="External"/><Relationship Id="rId_hyperlink_5420" Type="http://schemas.openxmlformats.org/officeDocument/2006/relationships/hyperlink" Target="https://optovikufa.ru/product/236758/ochistitel-karbyuratora-avtomaster-300ml/" TargetMode="External"/><Relationship Id="rId_hyperlink_5421" Type="http://schemas.openxmlformats.org/officeDocument/2006/relationships/hyperlink" Target="https://optovikufa.ru/product/237848/ochistitel-tormozov-i-metaldetaley-automobile-440ml/" TargetMode="External"/><Relationship Id="rId_hyperlink_5422" Type="http://schemas.openxmlformats.org/officeDocument/2006/relationships/hyperlink" Target="https://optovikufa.ru/product/122107/ochistitel-sledov-nasekomyh-i-bitumnyh-pyaten-avs-ochischaet-vevshiesya-pyatna-bituma-smoly-pochek-derevev-podhodit-dlya-lyubyh-poverhnostey-aerozol-335ml/" TargetMode="External"/><Relationship Id="rId_hyperlink_5423" Type="http://schemas.openxmlformats.org/officeDocument/2006/relationships/hyperlink" Target="https://optovikufa.ru/product/167251/chernitel-blesk-dlya-shin-520ml-aerozolastrohim-avs/" TargetMode="External"/><Relationship Id="rId_hyperlink_5424" Type="http://schemas.openxmlformats.org/officeDocument/2006/relationships/hyperlink" Target="https://optovikufa.ru/product/239622/ochistitel-rzhavchiny-3ton-aerozol-520ml/" TargetMode="External"/><Relationship Id="rId_hyperlink_5425" Type="http://schemas.openxmlformats.org/officeDocument/2006/relationships/hyperlink" Target="https://optovikufa.ru/product/239623/ochistitel-rzhavchiny-avs-aerozol-520ml-avk-221/" TargetMode="External"/><Relationship Id="rId_hyperlink_5426" Type="http://schemas.openxmlformats.org/officeDocument/2006/relationships/hyperlink" Target="https://optovikufa.ru/product/239624/ochistitel-elektricheskih-kontaktov-avs-aerozol-210ml-avk-178/" TargetMode="External"/><Relationship Id="rId_hyperlink_5427" Type="http://schemas.openxmlformats.org/officeDocument/2006/relationships/hyperlink" Target="https://optovikufa.ru/product/242749/aceton-tehnicheskiy-pnd-05l-dphi-gost/" TargetMode="External"/><Relationship Id="rId_hyperlink_5428" Type="http://schemas.openxmlformats.org/officeDocument/2006/relationships/hyperlink" Target="https://optovikufa.ru/product/242792/kerosin-osvetitelnyy-ko-25-pet-05l-dphi-tu/" TargetMode="External"/><Relationship Id="rId_hyperlink_5429" Type="http://schemas.openxmlformats.org/officeDocument/2006/relationships/hyperlink" Target="https://optovikufa.ru/product/242579/neytralizator-rzhavchiny-pet-05l-dphi-tu/" TargetMode="External"/><Relationship Id="rId_hyperlink_5430" Type="http://schemas.openxmlformats.org/officeDocument/2006/relationships/hyperlink" Target="https://optovikufa.ru/product/229956/germetik-prokladok-silikonovyy-termostoykiy-seryy-50g-akfix-ht300/" TargetMode="External"/><Relationship Id="rId_hyperlink_5431" Type="http://schemas.openxmlformats.org/officeDocument/2006/relationships/hyperlink" Target="https://optovikufa.ru/product/124392/germetik-fiksator-vysokotemperaturnyy-anaerobnyy-6ml-avs/" TargetMode="External"/><Relationship Id="rId_hyperlink_5432" Type="http://schemas.openxmlformats.org/officeDocument/2006/relationships/hyperlink" Target="https://optovikufa.ru/product/241611/kabel-vga-vga-shteker-shteker-3m/" TargetMode="External"/><Relationship Id="rId_hyperlink_5433" Type="http://schemas.openxmlformats.org/officeDocument/2006/relationships/hyperlink" Target="https://optovikufa.ru/product/241651/kleevoy-pistolet-pomoschnik-pm-ing01-20vt-220v-sterzhni-v-nabore-7mm/" TargetMode="External"/><Relationship Id="rId_hyperlink_5434" Type="http://schemas.openxmlformats.org/officeDocument/2006/relationships/hyperlink" Target="https://optovikufa.ru/product/230645/kleevoy-sterzhen-d-7mm-l-250mm-x-pert-10/" TargetMode="External"/><Relationship Id="rId_hyperlink_5435" Type="http://schemas.openxmlformats.org/officeDocument/2006/relationships/hyperlink" Target="https://optovikufa.ru/product/143646/kley-dlya-kleyaschego-pistoleta-d112mm-l270mm-siniy-rexant-10sht/" TargetMode="External"/><Relationship Id="rId_hyperlink_5436" Type="http://schemas.openxmlformats.org/officeDocument/2006/relationships/hyperlink" Target="https://optovikufa.ru/product/122730/kley-dlya-kleyaschego-pistoleta-d112mm-l270mm-chernyy-rexant-10sht-09-1209/" TargetMode="External"/><Relationship Id="rId_hyperlink_5437" Type="http://schemas.openxmlformats.org/officeDocument/2006/relationships/hyperlink" Target="https://optovikufa.ru/product/243077/kley-dlya-kleyaschego-pistoleta-d11mm-l-100mm-cvetnoy-12sht-rexant/" TargetMode="External"/><Relationship Id="rId_hyperlink_5438" Type="http://schemas.openxmlformats.org/officeDocument/2006/relationships/hyperlink" Target="https://optovikufa.ru/product/174859/kley-dlya-kleyaschego-pistoleta-d7mm-l195mm-chernyy-rexant-10sht-09-1104/" TargetMode="External"/><Relationship Id="rId_hyperlink_5439" Type="http://schemas.openxmlformats.org/officeDocument/2006/relationships/hyperlink" Target="https://optovikufa.ru/product/227419/pistolet-kleevoy-150w-hj019/" TargetMode="External"/><Relationship Id="rId_hyperlink_5440" Type="http://schemas.openxmlformats.org/officeDocument/2006/relationships/hyperlink" Target="https://optovikufa.ru/product/234764/pistolet-kleevoy-20vt-s-vyklyuchatelem-x-pert-hj0120/" TargetMode="External"/><Relationship Id="rId_hyperlink_5441" Type="http://schemas.openxmlformats.org/officeDocument/2006/relationships/hyperlink" Target="https://optovikufa.ru/product/234758/pistolet-kleevoy-20vt-s-vyklyuchatelem-x-pert-hl20w/" TargetMode="External"/><Relationship Id="rId_hyperlink_5442" Type="http://schemas.openxmlformats.org/officeDocument/2006/relationships/hyperlink" Target="https://optovikufa.ru/product/131861/kley-pva-kontakt-250g-art-kk-72-250-pb/" TargetMode="External"/><Relationship Id="rId_hyperlink_5443" Type="http://schemas.openxmlformats.org/officeDocument/2006/relationships/hyperlink" Target="https://optovikufa.ru/product/131860/kley-pva-kontakt-60ml-bl-art-kk-144-b60-pv/" TargetMode="External"/><Relationship Id="rId_hyperlink_5444" Type="http://schemas.openxmlformats.org/officeDocument/2006/relationships/hyperlink" Target="https://optovikufa.ru/product/171694/dihloretan-12ml-kley-dlya-orgstekla-i-drplastm-connector/" TargetMode="External"/><Relationship Id="rId_hyperlink_5445" Type="http://schemas.openxmlformats.org/officeDocument/2006/relationships/hyperlink" Target="https://optovikufa.ru/product/171695/dihloretan-40ml-kley-dlya-orgstekla-i-drplastm-connector/" TargetMode="External"/><Relationship Id="rId_hyperlink_5446" Type="http://schemas.openxmlformats.org/officeDocument/2006/relationships/hyperlink" Target="https://optovikufa.ru/product/151883/kley-moment-30ml-plastik-orgsteklo-polistirol-i-drugih-vidov-plastika/" TargetMode="External"/><Relationship Id="rId_hyperlink_5447" Type="http://schemas.openxmlformats.org/officeDocument/2006/relationships/hyperlink" Target="https://optovikufa.ru/product/220712/kley-leaders-bq-001-3gr-bl12/" TargetMode="External"/><Relationship Id="rId_hyperlink_5448" Type="http://schemas.openxmlformats.org/officeDocument/2006/relationships/hyperlink" Target="https://optovikufa.ru/product/239480/kley-leaders-bq-030-3gr-bl12/" TargetMode="External"/><Relationship Id="rId_hyperlink_5449" Type="http://schemas.openxmlformats.org/officeDocument/2006/relationships/hyperlink" Target="https://optovikufa.ru/product/235267/kley-sticko-plus-3gr/" TargetMode="External"/><Relationship Id="rId_hyperlink_5450" Type="http://schemas.openxmlformats.org/officeDocument/2006/relationships/hyperlink" Target="https://optovikufa.ru/product/242196/kley-sekunda-30ml-universalnyy-box10-shou-boks-kristalno-prozrachnyy/" TargetMode="External"/><Relationship Id="rId_hyperlink_5451" Type="http://schemas.openxmlformats.org/officeDocument/2006/relationships/hyperlink" Target="https://optovikufa.ru/product/234414/super-kley-cosmofen-20g-shou-boks-metall-keramika-derevo-plastmassa/" TargetMode="External"/><Relationship Id="rId_hyperlink_5452" Type="http://schemas.openxmlformats.org/officeDocument/2006/relationships/hyperlink" Target="https://optovikufa.ru/product/132800/obuvnoy-kley-moment-30ml-marafon-kozha-rezina-tkan-voylok-plastik-derevo-metall/" TargetMode="External"/><Relationship Id="rId_hyperlink_5453" Type="http://schemas.openxmlformats.org/officeDocument/2006/relationships/hyperlink" Target="https://optovikufa.ru/product/227695/kley-t-7000-15ml/" TargetMode="External"/><Relationship Id="rId_hyperlink_5454" Type="http://schemas.openxmlformats.org/officeDocument/2006/relationships/hyperlink" Target="https://optovikufa.ru/product/140671/kley-germetik-b-7000-prozrachnyy-elastichnyy-110ml-vremya-shvatyvaniya-3-6min/" TargetMode="External"/><Relationship Id="rId_hyperlink_5455" Type="http://schemas.openxmlformats.org/officeDocument/2006/relationships/hyperlink" Target="https://optovikufa.ru/product/236351/kley-germetik-e-8000-prozrachnyy-elastichnyy-110ml-vremya-shvatyvaniya-3-6min/" TargetMode="External"/><Relationship Id="rId_hyperlink_5456" Type="http://schemas.openxmlformats.org/officeDocument/2006/relationships/hyperlink" Target="https://optovikufa.ru/product/236353/kley-germetik-t-7000-chernyy-elastichnyy-110ml-vremya-shvatyvaniya-3-6min/" TargetMode="External"/><Relationship Id="rId_hyperlink_5457" Type="http://schemas.openxmlformats.org/officeDocument/2006/relationships/hyperlink" Target="https://optovikufa.ru/product/235405/kley-germetik-t-7000-chernyy-elastichnyy-50ml-vremya-shvatyvaniya-3-6min/" TargetMode="External"/><Relationship Id="rId_hyperlink_5458" Type="http://schemas.openxmlformats.org/officeDocument/2006/relationships/hyperlink" Target="https://optovikufa.ru/product/136582/kontaktnyy-kley-kontakt-30ml-prozrachnyy-art-kk-120-030-shou-boks/" TargetMode="External"/><Relationship Id="rId_hyperlink_5459" Type="http://schemas.openxmlformats.org/officeDocument/2006/relationships/hyperlink" Target="https://optovikufa.ru/product/151884/super-kley-moment-30ml-moment-1/" TargetMode="External"/><Relationship Id="rId_hyperlink_5460" Type="http://schemas.openxmlformats.org/officeDocument/2006/relationships/hyperlink" Target="https://optovikufa.ru/product/132802/universalnyy-kley-moment-30ml-gel-myagkiy-i-zhestkiy-pvh-orgsteklo-i-dr-plastiki-derevo-rezina-kozha-porolon-farfor-keramika-metall/" TargetMode="External"/><Relationship Id="rId_hyperlink_5461" Type="http://schemas.openxmlformats.org/officeDocument/2006/relationships/hyperlink" Target="https://optovikufa.ru/product/132805/universalnyy-kley-moment-30ml-kristall-myagkiy-i-zhestkiy-pvh-orgsteklo-i-dr-plastiki-derevo-rezina-kozha-porolon-farfor-keramika-metall/" TargetMode="External"/><Relationship Id="rId_hyperlink_5462" Type="http://schemas.openxmlformats.org/officeDocument/2006/relationships/hyperlink" Target="https://optovikufa.ru/product/132804/universalnyy-kley-moment-88-30ml-osoboprochnyy-rezina-kozha-metall-plastik-derevo-tkan-karton-steklo-beton/" TargetMode="External"/><Relationship Id="rId_hyperlink_5463" Type="http://schemas.openxmlformats.org/officeDocument/2006/relationships/hyperlink" Target="https://optovikufa.ru/product/240927/universalnyy-kley-sila-30ml-prozrachnyy-sgtb-30/" TargetMode="External"/><Relationship Id="rId_hyperlink_5464" Type="http://schemas.openxmlformats.org/officeDocument/2006/relationships/hyperlink" Target="https://optovikufa.ru/product/222680/kley-epoksidnyy-14ml-dvuhkomponentnyy-seryy-poxipol-00266/" TargetMode="External"/><Relationship Id="rId_hyperlink_5465" Type="http://schemas.openxmlformats.org/officeDocument/2006/relationships/hyperlink" Target="https://optovikufa.ru/product/122119/svarka-holodnaya-dlya-radiatora-i-benzobaka-avs-dlya-bystrogo-i-nadezhnogo-remonta-germetizacii-radiatorov-i-benzobakov-blister-55g/" TargetMode="External"/><Relationship Id="rId_hyperlink_5466" Type="http://schemas.openxmlformats.org/officeDocument/2006/relationships/hyperlink" Target="https://optovikufa.ru/product/242567/svarka-holodnaya-universalnaya-pro-series-55g/" TargetMode="External"/><Relationship Id="rId_hyperlink_5467" Type="http://schemas.openxmlformats.org/officeDocument/2006/relationships/hyperlink" Target="https://optovikufa.ru/product/154314/marker-dlya-cddvd-vs-dvuhstoronnie-v-blistere-4sht/" TargetMode="External"/><Relationship Id="rId_hyperlink_5468" Type="http://schemas.openxmlformats.org/officeDocument/2006/relationships/hyperlink" Target="https://optovikufa.ru/product/144572/marker-permanentnyy-chernyy-mk-425-7mm/" TargetMode="External"/><Relationship Id="rId_hyperlink_5469" Type="http://schemas.openxmlformats.org/officeDocument/2006/relationships/hyperlink" Target="https://optovikufa.ru/product/135476/marker-kraska-stroit-po-met-cv-zoloto-pered-ispolz-vstryahnut-i-prodavit-pero-47543/" TargetMode="External"/><Relationship Id="rId_hyperlink_5470" Type="http://schemas.openxmlformats.org/officeDocument/2006/relationships/hyperlink" Target="https://optovikufa.ru/product/235307/marker-kraska-stroit-po-met-cv-krasnyy-pered-ispolz-vstryahnut-i-prodavit-pero-46250/" TargetMode="External"/><Relationship Id="rId_hyperlink_5471" Type="http://schemas.openxmlformats.org/officeDocument/2006/relationships/hyperlink" Target="https://optovikufa.ru/product/135477/marker-kraska-stroit-po-met-cv-serebro-pered-ispolz-vstryahnut-i-prodavit-pero-48249/" TargetMode="External"/><Relationship Id="rId_hyperlink_5472" Type="http://schemas.openxmlformats.org/officeDocument/2006/relationships/hyperlink" Target="https://optovikufa.ru/product/235308/marker-kraska-stroit-po-met-cv-siniy-pered-ispolz-vstryahnut-i-prodavit-pero-48248/" TargetMode="External"/><Relationship Id="rId_hyperlink_5473" Type="http://schemas.openxmlformats.org/officeDocument/2006/relationships/hyperlink" Target="https://optovikufa.ru/product/220711/marker-kraska-stroit-po-met-cv-chernyy-pered-ispolz-vstryahnut-i-prodavit-pero/" TargetMode="External"/><Relationship Id="rId_hyperlink_5474" Type="http://schemas.openxmlformats.org/officeDocument/2006/relationships/hyperlink" Target="https://optovikufa.ru/product/230938/maslo-pribornoebytovoe-10ml-connector/" TargetMode="External"/><Relationship Id="rId_hyperlink_5475" Type="http://schemas.openxmlformats.org/officeDocument/2006/relationships/hyperlink" Target="https://optovikufa.ru/product/230939/maslo-silikonovoe-pms-100-10ml-connector/" TargetMode="External"/><Relationship Id="rId_hyperlink_5476" Type="http://schemas.openxmlformats.org/officeDocument/2006/relationships/hyperlink" Target="https://optovikufa.ru/product/230940/maslo-silikonovoe-pms-200-10ml-connector/" TargetMode="External"/><Relationship Id="rId_hyperlink_5477" Type="http://schemas.openxmlformats.org/officeDocument/2006/relationships/hyperlink" Target="https://optovikufa.ru/product/236250/maslo-silikonovoe-pms-5-10ml-connector/" TargetMode="External"/><Relationship Id="rId_hyperlink_5478" Type="http://schemas.openxmlformats.org/officeDocument/2006/relationships/hyperlink" Target="https://optovikufa.ru/product/240246/smazka-grafitovaya-520ml-aerozol-grafitnaya-3ton/" TargetMode="External"/><Relationship Id="rId_hyperlink_5479" Type="http://schemas.openxmlformats.org/officeDocument/2006/relationships/hyperlink" Target="https://optovikufa.ru/product/242072/smazka-pronikayuschaya-210ml-aerozol-rc-40-mnogofunkcionalnaya-s-trubochkoy-lavr/" TargetMode="External"/><Relationship Id="rId_hyperlink_5480" Type="http://schemas.openxmlformats.org/officeDocument/2006/relationships/hyperlink" Target="https://optovikufa.ru/product/242073/smazka-pronikayuschaya-335ml-aerozol-termoklyuch-zamorazhivayuschaya/" TargetMode="External"/><Relationship Id="rId_hyperlink_5481" Type="http://schemas.openxmlformats.org/officeDocument/2006/relationships/hyperlink" Target="https://optovikufa.ru/product/240960/smazka-silikonovaya-210ml-aerozol-3ton/" TargetMode="External"/><Relationship Id="rId_hyperlink_5482" Type="http://schemas.openxmlformats.org/officeDocument/2006/relationships/hyperlink" Target="https://optovikufa.ru/product/238395/smazka-silikonovaya-avtomaster-300ml/" TargetMode="External"/><Relationship Id="rId_hyperlink_5483" Type="http://schemas.openxmlformats.org/officeDocument/2006/relationships/hyperlink" Target="https://optovikufa.ru/product/141083/sredstvo-rw-40-analog-wd-40-100ml-pronikayuschaya-smazka/" TargetMode="External"/><Relationship Id="rId_hyperlink_5484" Type="http://schemas.openxmlformats.org/officeDocument/2006/relationships/hyperlink" Target="https://optovikufa.ru/product/125017/sredstvo-rw-40-analog-wd-40-300ml-pronikayuschaya-smazka/" TargetMode="External"/><Relationship Id="rId_hyperlink_5485" Type="http://schemas.openxmlformats.org/officeDocument/2006/relationships/hyperlink" Target="https://optovikufa.ru/product/242570/skotch-malyarnyy-4820/" TargetMode="External"/><Relationship Id="rId_hyperlink_5486" Type="http://schemas.openxmlformats.org/officeDocument/2006/relationships/hyperlink" Target="https://optovikufa.ru/product/236096/skotch-dvustoronniy-3m-20mm-h-5m-seryy-krasnaya-podlozhka/" TargetMode="External"/><Relationship Id="rId_hyperlink_5487" Type="http://schemas.openxmlformats.org/officeDocument/2006/relationships/hyperlink" Target="https://optovikufa.ru/product/241766/skotch-dvustoronniy-3m-krasnyy-6mm-h-5m/" TargetMode="External"/><Relationship Id="rId_hyperlink_5488" Type="http://schemas.openxmlformats.org/officeDocument/2006/relationships/hyperlink" Target="https://optovikufa.ru/product/241767/skotch-dvustoronniy-3m-krasnyy-8mm-h-5m/" TargetMode="External"/><Relationship Id="rId_hyperlink_5489" Type="http://schemas.openxmlformats.org/officeDocument/2006/relationships/hyperlink" Target="https://optovikufa.ru/product/242568/skotch-dvustoronniy-3m-krasnyy-9mm-h-5m/" TargetMode="External"/><Relationship Id="rId_hyperlink_5490" Type="http://schemas.openxmlformats.org/officeDocument/2006/relationships/hyperlink" Target="https://optovikufa.ru/product/241768/skotch-dvustoronniy-3m-krasnyy-12mm-h-5m/" TargetMode="External"/><Relationship Id="rId_hyperlink_5491" Type="http://schemas.openxmlformats.org/officeDocument/2006/relationships/hyperlink" Target="https://optovikufa.ru/product/227563/skotch-dvustoronniy-3m-prozrachnyy-6mm-h-5m/" TargetMode="External"/><Relationship Id="rId_hyperlink_5492" Type="http://schemas.openxmlformats.org/officeDocument/2006/relationships/hyperlink" Target="https://optovikufa.ru/product/227564/skotch-dvustoronniy-3m-prozrachnyy-8mm-h-5m/" TargetMode="External"/><Relationship Id="rId_hyperlink_5493" Type="http://schemas.openxmlformats.org/officeDocument/2006/relationships/hyperlink" Target="https://optovikufa.ru/product/233470/skotch-dvustoronniy-3m-prozrachnyy-9mm-h-5m/" TargetMode="External"/><Relationship Id="rId_hyperlink_5494" Type="http://schemas.openxmlformats.org/officeDocument/2006/relationships/hyperlink" Target="https://optovikufa.ru/product/227565/skotch-dvustoronniy-3m-prozrachnyy-10mm-h-5m/" TargetMode="External"/><Relationship Id="rId_hyperlink_5495" Type="http://schemas.openxmlformats.org/officeDocument/2006/relationships/hyperlink" Target="https://optovikufa.ru/product/227566/skotch-dvustoronniy-3m-prozrachnyy-12mm-h-5m/" TargetMode="External"/><Relationship Id="rId_hyperlink_5496" Type="http://schemas.openxmlformats.org/officeDocument/2006/relationships/hyperlink" Target="https://optovikufa.ru/product/227567/skotch-dvustoronniy-3m-prozrachnyy-15mm-h-5m/" TargetMode="External"/><Relationship Id="rId_hyperlink_5497" Type="http://schemas.openxmlformats.org/officeDocument/2006/relationships/hyperlink" Target="https://optovikufa.ru/product/239626/skotch-dvustoronniy-3m-prozrachnyy-18mm-h-5m/" TargetMode="External"/><Relationship Id="rId_hyperlink_5498" Type="http://schemas.openxmlformats.org/officeDocument/2006/relationships/hyperlink" Target="https://optovikufa.ru/product/227568/skotch-dvustoronniy-3m-prozrachnyy-20mm-h-5m/" TargetMode="External"/><Relationship Id="rId_hyperlink_5499" Type="http://schemas.openxmlformats.org/officeDocument/2006/relationships/hyperlink" Target="https://optovikufa.ru/product/227569/skotch-dvustoronniy-3m-prozrachnyy-30mm-h-5m/" TargetMode="External"/><Relationship Id="rId_hyperlink_5500" Type="http://schemas.openxmlformats.org/officeDocument/2006/relationships/hyperlink" Target="https://optovikufa.ru/product/233740/skotch-dvustoronniy-10mm-h-5m-krasnaya-podlozhka/" TargetMode="External"/><Relationship Id="rId_hyperlink_5501" Type="http://schemas.openxmlformats.org/officeDocument/2006/relationships/hyperlink" Target="https://optovikufa.ru/product/238953/skotch-dvustoronniy-12mm-h-2m-lit/" TargetMode="External"/><Relationship Id="rId_hyperlink_5502" Type="http://schemas.openxmlformats.org/officeDocument/2006/relationships/hyperlink" Target="https://optovikufa.ru/product/238954/skotch-dvustoronniy-12mm-h-5m-lit/" TargetMode="External"/><Relationship Id="rId_hyperlink_5503" Type="http://schemas.openxmlformats.org/officeDocument/2006/relationships/hyperlink" Target="https://optovikufa.ru/product/229570/skotch-dvustoronniy-20mm-h-5m-krasnaya-podlozhka/" TargetMode="External"/><Relationship Id="rId_hyperlink_5504" Type="http://schemas.openxmlformats.org/officeDocument/2006/relationships/hyperlink" Target="https://optovikufa.ru/product/238091/skotch-dvustoronniy-22mm-h-2m-lit/" TargetMode="External"/><Relationship Id="rId_hyperlink_5505" Type="http://schemas.openxmlformats.org/officeDocument/2006/relationships/hyperlink" Target="https://optovikufa.ru/product/238956/skotch-dvustoronniy-30mm-h-2m-lit/" TargetMode="External"/><Relationship Id="rId_hyperlink_5506" Type="http://schemas.openxmlformats.org/officeDocument/2006/relationships/hyperlink" Target="https://optovikufa.ru/product/241365/skotch-dvustoronniy-40mm-h-5m-lit/" TargetMode="External"/><Relationship Id="rId_hyperlink_5507" Type="http://schemas.openxmlformats.org/officeDocument/2006/relationships/hyperlink" Target="https://optovikufa.ru/product/168281/skotch-dvustoronniy-krasnyy-10mm-h-5m-termostoykiy/" TargetMode="External"/><Relationship Id="rId_hyperlink_5508" Type="http://schemas.openxmlformats.org/officeDocument/2006/relationships/hyperlink" Target="https://optovikufa.ru/product/240840/skotch-dvustoronniy-krasnyy-14mm-h-5m-termostoykiy/" TargetMode="External"/><Relationship Id="rId_hyperlink_5509" Type="http://schemas.openxmlformats.org/officeDocument/2006/relationships/hyperlink" Target="https://optovikufa.ru/product/240841/skotch-dvustoronniy-krasnyy-15mm-h-5m-termostoykiy/" TargetMode="External"/><Relationship Id="rId_hyperlink_5510" Type="http://schemas.openxmlformats.org/officeDocument/2006/relationships/hyperlink" Target="https://optovikufa.ru/product/241591/skotch-dvuhstoronniy-prozrachnyy-5mm-h-5m-termostoykiy-new-vision/" TargetMode="External"/><Relationship Id="rId_hyperlink_5511" Type="http://schemas.openxmlformats.org/officeDocument/2006/relationships/hyperlink" Target="https://optovikufa.ru/product/241592/skotch-dvuhstoronniy-prozrachnyy-7mm-h-5m-termostoykiy-new-vision/" TargetMode="External"/><Relationship Id="rId_hyperlink_5512" Type="http://schemas.openxmlformats.org/officeDocument/2006/relationships/hyperlink" Target="https://optovikufa.ru/product/242067/skotch-dvuhstoronniy-prozrachnyy-8mm-h-5m-termostoykiy-new-vision/" TargetMode="External"/><Relationship Id="rId_hyperlink_5513" Type="http://schemas.openxmlformats.org/officeDocument/2006/relationships/hyperlink" Target="https://optovikufa.ru/product/241593/skotch-dvuhstoronniy-prozrachnyy-9mm-h-5m-termostoykiy-new-vision/" TargetMode="External"/><Relationship Id="rId_hyperlink_5514" Type="http://schemas.openxmlformats.org/officeDocument/2006/relationships/hyperlink" Target="https://optovikufa.ru/product/242068/skotch-dvuhstoronniy-prozrachnyy-10mm-h-5m-termostoykiy-new-vision/" TargetMode="External"/><Relationship Id="rId_hyperlink_5515" Type="http://schemas.openxmlformats.org/officeDocument/2006/relationships/hyperlink" Target="https://optovikufa.ru/product/241594/skotch-dvuhstoronniy-prozrachnyy-12mm-h-5m-termostoykiy-new-vision/" TargetMode="External"/><Relationship Id="rId_hyperlink_5516" Type="http://schemas.openxmlformats.org/officeDocument/2006/relationships/hyperlink" Target="https://optovikufa.ru/product/242070/skotch-dvuhstoronniy-prozrachnyy-20mm-h-5m-termostoykiy-new-vision/" TargetMode="External"/><Relationship Id="rId_hyperlink_5517" Type="http://schemas.openxmlformats.org/officeDocument/2006/relationships/hyperlink" Target="https://optovikufa.ru/product/236497/lenta-armirovannaya-dlya-trub-x-pert-100mm5m-xp-pt1005/" TargetMode="External"/><Relationship Id="rId_hyperlink_5518" Type="http://schemas.openxmlformats.org/officeDocument/2006/relationships/hyperlink" Target="https://optovikufa.ru/product/241970/lenta-armirovannaya-dlya-trub-x-pert-50mm5m-xp-pt505/" TargetMode="External"/><Relationship Id="rId_hyperlink_5519" Type="http://schemas.openxmlformats.org/officeDocument/2006/relationships/hyperlink" Target="https://optovikufa.ru/product/167877/lenta-lipuchka-1m-20mm/" TargetMode="External"/><Relationship Id="rId_hyperlink_5520" Type="http://schemas.openxmlformats.org/officeDocument/2006/relationships/hyperlink" Target="https://optovikufa.ru/product/167878/lenta-lipuchka-3m-20mm/" TargetMode="External"/><Relationship Id="rId_hyperlink_5521" Type="http://schemas.openxmlformats.org/officeDocument/2006/relationships/hyperlink" Target="https://optovikufa.ru/product/239511/skotch-armirovannyy-seryy-56h10/" TargetMode="External"/><Relationship Id="rId_hyperlink_5522" Type="http://schemas.openxmlformats.org/officeDocument/2006/relationships/hyperlink" Target="https://optovikufa.ru/product/238951/skotch-armirovannyy-super-10sm-5m-butilovyy-s-alyuminievym-pokrytiem-vodostoykiy/" TargetMode="External"/><Relationship Id="rId_hyperlink_5523" Type="http://schemas.openxmlformats.org/officeDocument/2006/relationships/hyperlink" Target="https://optovikufa.ru/product/238952/skotch-armirovannyy-super-5sm-5m-butilovyy-s-alyuminievym-pokrytiem-vodostoykiy/" TargetMode="External"/><Relationship Id="rId_hyperlink_5524" Type="http://schemas.openxmlformats.org/officeDocument/2006/relationships/hyperlink" Target="https://optovikufa.ru/product/243005/universalnaya-kleyaschaya-folgirovannaya-lenta-45mm26m/" TargetMode="External"/><Relationship Id="rId_hyperlink_5525" Type="http://schemas.openxmlformats.org/officeDocument/2006/relationships/hyperlink" Target="https://optovikufa.ru/product/243006/universalnaya-kleyaschaya-folgirovannaya-lenta-48mm22m/" TargetMode="External"/><Relationship Id="rId_hyperlink_5526" Type="http://schemas.openxmlformats.org/officeDocument/2006/relationships/hyperlink" Target="https://optovikufa.ru/product/243007/universalnaya-kleyaschaya-folgirovannaya-lenta-55mm26m/" TargetMode="External"/><Relationship Id="rId_hyperlink_5527" Type="http://schemas.openxmlformats.org/officeDocument/2006/relationships/hyperlink" Target="https://optovikufa.ru/product/238747/skotch-zheltyy-66250/" TargetMode="External"/><Relationship Id="rId_hyperlink_5528" Type="http://schemas.openxmlformats.org/officeDocument/2006/relationships/hyperlink" Target="https://optovikufa.ru/product/239510/skotch-prozrachnyy-56100/" TargetMode="External"/><Relationship Id="rId_hyperlink_5529" Type="http://schemas.openxmlformats.org/officeDocument/2006/relationships/hyperlink" Target="https://optovikufa.ru/product/221971/termoskotch-odnostoronniy-shirina-10mm-dlina-10m/" TargetMode="External"/><Relationship Id="rId_hyperlink_5530" Type="http://schemas.openxmlformats.org/officeDocument/2006/relationships/hyperlink" Target="https://optovikufa.ru/product/221972/termoskotch-odnostoronniy-shirina-20mm-dlina-10m/" TargetMode="External"/><Relationship Id="rId_hyperlink_5531" Type="http://schemas.openxmlformats.org/officeDocument/2006/relationships/hyperlink" Target="https://optovikufa.ru/product/128180/termoskotch-odnostoronniy-shirina-5mm-dlina-10m/" TargetMode="External"/><Relationship Id="rId_hyperlink_5532" Type="http://schemas.openxmlformats.org/officeDocument/2006/relationships/hyperlink" Target="https://optovikufa.ru/product/241359/fum-lenta-19-h-0020mm-h-20m-lit/" TargetMode="External"/><Relationship Id="rId_hyperlink_5533" Type="http://schemas.openxmlformats.org/officeDocument/2006/relationships/hyperlink" Target="https://optovikufa.ru/product/217464/fum-lenta-19-h-0075mm-h-5m-21255/" TargetMode="External"/><Relationship Id="rId_hyperlink_5534" Type="http://schemas.openxmlformats.org/officeDocument/2006/relationships/hyperlink" Target="https://optovikufa.ru/product/237890/fum-lenta-dlya-gaza-19mm-100m-x-pert/" TargetMode="External"/><Relationship Id="rId_hyperlink_5535" Type="http://schemas.openxmlformats.org/officeDocument/2006/relationships/hyperlink" Target="https://optovikufa.ru/product/230217/fum-lenta-dlya-gaza-19mm-15m-x-pert-fl-105/" TargetMode="External"/><Relationship Id="rId_hyperlink_5536" Type="http://schemas.openxmlformats.org/officeDocument/2006/relationships/hyperlink" Target="https://optovikufa.ru/product/236776/pnevmaticheskiy-ochistitel-defender-cln-30805-optima-dlya-ochistki-pk-1000ml/" TargetMode="External"/><Relationship Id="rId_hyperlink_5537" Type="http://schemas.openxmlformats.org/officeDocument/2006/relationships/hyperlink" Target="https://optovikufa.ru/product/237849/ochistitel-montazhnoy-peny-monta-440ml/" TargetMode="External"/><Relationship Id="rId_hyperlink_5538" Type="http://schemas.openxmlformats.org/officeDocument/2006/relationships/hyperlink" Target="https://optovikufa.ru/product/239411/universalnoe-myagkoe-chistyaschee-sredstvo-400ml-aerozol/" TargetMode="External"/><Relationship Id="rId_hyperlink_5539" Type="http://schemas.openxmlformats.org/officeDocument/2006/relationships/hyperlink" Target="https://optovikufa.ru/product/241589/ochistitel-udalitel-nakleek-kleya-i-skotcha-abro-antiskotch-200ml/" TargetMode="External"/><Relationship Id="rId_hyperlink_5540" Type="http://schemas.openxmlformats.org/officeDocument/2006/relationships/hyperlink" Target="https://optovikufa.ru/product/239621/ochistitel-udalitel-nakleek-kleya-i-skotcha-avk-650-antiskotch-335ml/" TargetMode="External"/><Relationship Id="rId_hyperlink_5541" Type="http://schemas.openxmlformats.org/officeDocument/2006/relationships/hyperlink" Target="https://optovikufa.ru/product/229199/ochistitel-udalitel-nakleek-kleya-i-skotcha-avk-697-antiskotch-210ml/" TargetMode="External"/><Relationship Id="rId_hyperlink_5542" Type="http://schemas.openxmlformats.org/officeDocument/2006/relationships/hyperlink" Target="https://optovikufa.ru/product/234935/sredstvo-dlya-udaleniya-nakleek-label-off-01l/" TargetMode="External"/><Relationship Id="rId_hyperlink_5543" Type="http://schemas.openxmlformats.org/officeDocument/2006/relationships/hyperlink" Target="https://optovikufa.ru/product/242554/adapter-setevoy-universalnyy-euusukru-a-c-g-i-p2-belyy/" TargetMode="External"/><Relationship Id="rId_hyperlink_5544" Type="http://schemas.openxmlformats.org/officeDocument/2006/relationships/hyperlink" Target="https://optovikufa.ru/product/242555/adapter-setevoy-universalnyy-euusukru-a-c-g-i-p3/" TargetMode="External"/><Relationship Id="rId_hyperlink_5545" Type="http://schemas.openxmlformats.org/officeDocument/2006/relationships/hyperlink" Target="https://optovikufa.ru/product/234564/evro-perehodnik-rozetki-6a/" TargetMode="External"/><Relationship Id="rId_hyperlink_5546" Type="http://schemas.openxmlformats.org/officeDocument/2006/relationships/hyperlink" Target="https://optovikufa.ru/product/238132/evro-perehodnik-rozetki-belyy-6a-w366e/" TargetMode="External"/><Relationship Id="rId_hyperlink_5547" Type="http://schemas.openxmlformats.org/officeDocument/2006/relationships/hyperlink" Target="https://optovikufa.ru/product/191112/evro-perehodnik-rozetki-kruglyy-16a-ps1-seryy-itec/" TargetMode="External"/><Relationship Id="rId_hyperlink_5548" Type="http://schemas.openxmlformats.org/officeDocument/2006/relationships/hyperlink" Target="https://optovikufa.ru/product/127193/evro-perehodnik-rozetki-ploskiy/" TargetMode="External"/><Relationship Id="rId_hyperlink_5549" Type="http://schemas.openxmlformats.org/officeDocument/2006/relationships/hyperlink" Target="https://optovikufa.ru/product/234617/evro-perehodnik-rozetki-ploskiy-6a-vellkont-belyy-pu1016-004/" TargetMode="External"/><Relationship Id="rId_hyperlink_5550" Type="http://schemas.openxmlformats.org/officeDocument/2006/relationships/hyperlink" Target="https://optovikufa.ru/product/233266/evro-perehodnik-rozetki-ploskiy-belyy-6a-vellkont/" TargetMode="External"/><Relationship Id="rId_hyperlink_5551" Type="http://schemas.openxmlformats.org/officeDocument/2006/relationships/hyperlink" Target="https://optovikufa.ru/product/236501/evro-perehodnik-rozetki-ploskiy-chernyy-6a/" TargetMode="External"/><Relationship Id="rId_hyperlink_5552" Type="http://schemas.openxmlformats.org/officeDocument/2006/relationships/hyperlink" Target="https://optovikufa.ru/product/242419/evro-perehodnik-rozetki-ploskiy-belyy-6a-303-046/" TargetMode="External"/><Relationship Id="rId_hyperlink_5553" Type="http://schemas.openxmlformats.org/officeDocument/2006/relationships/hyperlink" Target="https://optovikufa.ru/product/191115/evro-perehodnik-rozetki-stakan-toker-1s-6a/" TargetMode="External"/><Relationship Id="rId_hyperlink_5554" Type="http://schemas.openxmlformats.org/officeDocument/2006/relationships/hyperlink" Target="https://optovikufa.ru/product/191111/evro-perehodnik-rozetki-stakan-vellkont-6a-pu1016-001/" TargetMode="External"/><Relationship Id="rId_hyperlink_5555" Type="http://schemas.openxmlformats.org/officeDocument/2006/relationships/hyperlink" Target="https://optovikufa.ru/product/231545/evro-perehodnik-troynik-kozya-nozhka-vellkont-16a-pu1016-003/" TargetMode="External"/><Relationship Id="rId_hyperlink_5556" Type="http://schemas.openxmlformats.org/officeDocument/2006/relationships/hyperlink" Target="https://optovikufa.ru/product/237690/setevoy-universalnyy-perehodnik-fd-1960/" TargetMode="External"/><Relationship Id="rId_hyperlink_5557" Type="http://schemas.openxmlformats.org/officeDocument/2006/relationships/hyperlink" Target="https://optovikufa.ru/product/127133/kolodka-udlinitelya-2-gnezda-bz-10a-22kvt-belaya-makel-101-turciya/" TargetMode="External"/><Relationship Id="rId_hyperlink_5558" Type="http://schemas.openxmlformats.org/officeDocument/2006/relationships/hyperlink" Target="https://optovikufa.ru/product/223363/kolodka-udlinitelya-2-gnezda-bz-10a-22kvt-belaya-smartbuy-sbe-10-2-00-n/" TargetMode="External"/><Relationship Id="rId_hyperlink_5559" Type="http://schemas.openxmlformats.org/officeDocument/2006/relationships/hyperlink" Target="https://optovikufa.ru/product/229141/kolodka-udlinitelya-2-gnezda-bz-10a-22kvt-chernaya-bakelitovaya-smartbuy-sbe-10-2-00-bn/" TargetMode="External"/><Relationship Id="rId_hyperlink_5560" Type="http://schemas.openxmlformats.org/officeDocument/2006/relationships/hyperlink" Target="https://optovikufa.ru/product/241549/kolodka-udlinitelya-2-gnezda-bz-6a-22kvt-belaya-vellkont/" TargetMode="External"/><Relationship Id="rId_hyperlink_5561" Type="http://schemas.openxmlformats.org/officeDocument/2006/relationships/hyperlink" Target="https://optovikufa.ru/product/127134/kolodka-udlinitelya-2-gnezda-sz-16a-35kvt-belaya-makel-111-turciya/" TargetMode="External"/><Relationship Id="rId_hyperlink_5562" Type="http://schemas.openxmlformats.org/officeDocument/2006/relationships/hyperlink" Target="https://optovikufa.ru/product/223364/kolodka-udlinitelya-2-gnezda-sz-16a-35kvt-belaya-smartbuy-sbe-16-2-00-z/" TargetMode="External"/><Relationship Id="rId_hyperlink_5563" Type="http://schemas.openxmlformats.org/officeDocument/2006/relationships/hyperlink" Target="https://optovikufa.ru/product/233580/kolodka-udlinitelya-2-gnezda-sz-belaya-vellkont/" TargetMode="External"/><Relationship Id="rId_hyperlink_5564" Type="http://schemas.openxmlformats.org/officeDocument/2006/relationships/hyperlink" Target="https://optovikufa.ru/product/127135/kolodka-udlinitelya-3-gnezda-bz-10a-22kvt-belaya-makel-121-turciya/" TargetMode="External"/><Relationship Id="rId_hyperlink_5565" Type="http://schemas.openxmlformats.org/officeDocument/2006/relationships/hyperlink" Target="https://optovikufa.ru/product/223365/kolodka-udlinitelya-3-gnezda-bz-10a-22kvt-belaya-smartbuy-sbe-10-3-00-n/" TargetMode="External"/><Relationship Id="rId_hyperlink_5566" Type="http://schemas.openxmlformats.org/officeDocument/2006/relationships/hyperlink" Target="https://optovikufa.ru/product/229142/kolodka-udlinitelya-3-gnezda-bz-10a-22kvt-chernaya-bakelitovaya-smartbuy-sbe-10-3-00-bn/" TargetMode="External"/><Relationship Id="rId_hyperlink_5567" Type="http://schemas.openxmlformats.org/officeDocument/2006/relationships/hyperlink" Target="https://optovikufa.ru/product/235508/kolodka-udlinitelya-3-gnezda-bz-belaya-vellkont/" TargetMode="External"/><Relationship Id="rId_hyperlink_5568" Type="http://schemas.openxmlformats.org/officeDocument/2006/relationships/hyperlink" Target="https://optovikufa.ru/product/235525/kolodka-udlinitelya-3-gnezda-bz-belaya-s-vyklyuchatelem-pc-3-vellkont/" TargetMode="External"/><Relationship Id="rId_hyperlink_5569" Type="http://schemas.openxmlformats.org/officeDocument/2006/relationships/hyperlink" Target="https://optovikufa.ru/product/127136/kolodka-udlinitelya-3-gnezda-sz-16a-35kvt-belaya-makel-131-turciya/" TargetMode="External"/><Relationship Id="rId_hyperlink_5570" Type="http://schemas.openxmlformats.org/officeDocument/2006/relationships/hyperlink" Target="https://optovikufa.ru/product/223366/kolodka-udlinitelya-3-gnezda-sz-16a-35kvt-belaya-smartbuy-sbe-16-3-00-z/" TargetMode="External"/><Relationship Id="rId_hyperlink_5571" Type="http://schemas.openxmlformats.org/officeDocument/2006/relationships/hyperlink" Target="https://optovikufa.ru/product/125927/kolodka-udlinitelya-3-gnezda-sz-16a-35kvt-belaya-s-vyklyuchatelem-smartbuy-sbe-16-3-00-zs/" TargetMode="External"/><Relationship Id="rId_hyperlink_5572" Type="http://schemas.openxmlformats.org/officeDocument/2006/relationships/hyperlink" Target="https://optovikufa.ru/product/127132/kolodka-udlinitelya-4-gnezda-bz-10a-22kvt-belaya-makel-141-turciya/" TargetMode="External"/><Relationship Id="rId_hyperlink_5573" Type="http://schemas.openxmlformats.org/officeDocument/2006/relationships/hyperlink" Target="https://optovikufa.ru/product/235509/kolodka-udlinitelya-4-gnezda-bz-belaya-pc-4-vellkont/" TargetMode="External"/><Relationship Id="rId_hyperlink_5574" Type="http://schemas.openxmlformats.org/officeDocument/2006/relationships/hyperlink" Target="https://optovikufa.ru/product/127131/kolodka-udlinitelya-4-gnezda-sz-16a-35kvt-belaya-makel-151-turciya/" TargetMode="External"/><Relationship Id="rId_hyperlink_5575" Type="http://schemas.openxmlformats.org/officeDocument/2006/relationships/hyperlink" Target="https://optovikufa.ru/product/224225/kolodka-udlinitelya-4-gnezda-sz-16a-35kvt-belaya-smartbuy-sbe-16-4-00-z/" TargetMode="External"/><Relationship Id="rId_hyperlink_5576" Type="http://schemas.openxmlformats.org/officeDocument/2006/relationships/hyperlink" Target="https://optovikufa.ru/product/125928/kolodka-udlinitelya-4-gnezda-sz-16a-35kvt-belaya-s-vyklyuchatelem-smartbuy-sbe-16-4-00-zs/" TargetMode="External"/><Relationship Id="rId_hyperlink_5577" Type="http://schemas.openxmlformats.org/officeDocument/2006/relationships/hyperlink" Target="https://optovikufa.ru/product/173316/kolodka-udlinitelya-6-gnezd-sz-16a-35kvt-belaya-makel-181-turciya/" TargetMode="External"/><Relationship Id="rId_hyperlink_5578" Type="http://schemas.openxmlformats.org/officeDocument/2006/relationships/hyperlink" Target="https://optovikufa.ru/product/242940/setevoy-filtr-perfeo-power-stream-15m-5-rozetok-avtomaticheskiy-predohranitel-belyy/" TargetMode="External"/><Relationship Id="rId_hyperlink_5579" Type="http://schemas.openxmlformats.org/officeDocument/2006/relationships/hyperlink" Target="https://optovikufa.ru/product/242941/setevoy-filtr-perfeo-power-stream-15m-5-rozetok-avtomaticheskiy-predohranitel-chernyy/" TargetMode="External"/><Relationship Id="rId_hyperlink_5580" Type="http://schemas.openxmlformats.org/officeDocument/2006/relationships/hyperlink" Target="https://optovikufa.ru/product/242942/setevoy-filtr-perfeo-power-stream-2m-3-usb-4-rozetki-avtomaticheskiy-predohranitel-belyy/" TargetMode="External"/><Relationship Id="rId_hyperlink_5581" Type="http://schemas.openxmlformats.org/officeDocument/2006/relationships/hyperlink" Target="https://optovikufa.ru/product/242943/setevoy-filtr-perfeo-power-stream-2m-3-usb-4-rozetki-avtomaticheskiy-predohranitel-chernyy/" TargetMode="External"/><Relationship Id="rId_hyperlink_5582" Type="http://schemas.openxmlformats.org/officeDocument/2006/relationships/hyperlink" Target="https://optovikufa.ru/product/242933/setevoy-filtr-perfeo-power-stream-3m-3-rozetki-avtomaticheskiy-predohranitel-chernyy/" TargetMode="External"/><Relationship Id="rId_hyperlink_5583" Type="http://schemas.openxmlformats.org/officeDocument/2006/relationships/hyperlink" Target="https://optovikufa.ru/product/242934/setevoy-filtr-perfeo-power-stream-3m-4-rozetki-avtomaticheskiy-predohranitel-belyy/" TargetMode="External"/><Relationship Id="rId_hyperlink_5584" Type="http://schemas.openxmlformats.org/officeDocument/2006/relationships/hyperlink" Target="https://optovikufa.ru/product/242935/setevoy-filtr-perfeo-power-stream-3m-4-rozetki-avtomaticheskiy-predohranitel-chernyy/" TargetMode="External"/><Relationship Id="rId_hyperlink_5585" Type="http://schemas.openxmlformats.org/officeDocument/2006/relationships/hyperlink" Target="https://optovikufa.ru/product/242944/setevoy-filtr-perfeo-power-stream-3m-5-rozetok-avtomaticheskiy-predohranitel-belyy/" TargetMode="External"/><Relationship Id="rId_hyperlink_5586" Type="http://schemas.openxmlformats.org/officeDocument/2006/relationships/hyperlink" Target="https://optovikufa.ru/product/242945/setevoy-filtr-perfeo-power-stream-3m-5-rozetok-avtomaticheskiy-predohranitel-chernyy/" TargetMode="External"/><Relationship Id="rId_hyperlink_5587" Type="http://schemas.openxmlformats.org/officeDocument/2006/relationships/hyperlink" Target="https://optovikufa.ru/product/242937/setevoy-filtr-perfeo-power-stream-5m-3-rozetki-avtomaticheskiy-predohranitel-chernyy/" TargetMode="External"/><Relationship Id="rId_hyperlink_5588" Type="http://schemas.openxmlformats.org/officeDocument/2006/relationships/hyperlink" Target="https://optovikufa.ru/product/242946/setevoy-filtr-perfeo-power-stream-5m-5-rozetok-avtomaticheskiy-predohranitel-belyy/" TargetMode="External"/><Relationship Id="rId_hyperlink_5589" Type="http://schemas.openxmlformats.org/officeDocument/2006/relationships/hyperlink" Target="https://optovikufa.ru/product/242947/setevoy-filtr-perfeo-power-stream-5m-5-rozetok-avtomaticheskiy-predohranitel-chernyy/" TargetMode="External"/><Relationship Id="rId_hyperlink_5590" Type="http://schemas.openxmlformats.org/officeDocument/2006/relationships/hyperlink" Target="https://optovikufa.ru/product/220598/setevoy-filtr-perfeo-power-18m-5-rozetok-avtomaticheskiy-predohranitel-chernyy/" TargetMode="External"/><Relationship Id="rId_hyperlink_5591" Type="http://schemas.openxmlformats.org/officeDocument/2006/relationships/hyperlink" Target="https://optovikufa.ru/product/220014/setevoy-filtr-perfeo-power-18m-6-rozetok-avtomaticheskiy-predohranitel-seryy/" TargetMode="External"/><Relationship Id="rId_hyperlink_5592" Type="http://schemas.openxmlformats.org/officeDocument/2006/relationships/hyperlink" Target="https://optovikufa.ru/product/220015/setevoy-filtr-perfeo-power-18m-6-rozetok-avtomaticheskiy-predohranitel-chernyy/" TargetMode="External"/><Relationship Id="rId_hyperlink_5593" Type="http://schemas.openxmlformats.org/officeDocument/2006/relationships/hyperlink" Target="https://optovikufa.ru/product/220599/setevoy-filtr-perfeo-power-3m-5-rozetok-avtomaticheskiy-predohranitel-seryy/" TargetMode="External"/><Relationship Id="rId_hyperlink_5594" Type="http://schemas.openxmlformats.org/officeDocument/2006/relationships/hyperlink" Target="https://optovikufa.ru/product/220600/setevoy-filtr-perfeo-power-3m-5-rozetok-avtomaticheskiy-predohranitel-chernyy/" TargetMode="External"/><Relationship Id="rId_hyperlink_5595" Type="http://schemas.openxmlformats.org/officeDocument/2006/relationships/hyperlink" Target="https://optovikufa.ru/product/220602/setevoy-filtr-perfeo-power-3m-6-rozetok-avtomaticheskiy-predohranitel-chernyy/" TargetMode="External"/><Relationship Id="rId_hyperlink_5596" Type="http://schemas.openxmlformats.org/officeDocument/2006/relationships/hyperlink" Target="https://optovikufa.ru/product/220603/setevoy-filtr-perfeo-power-5m-5-rozetok-avtomaticheskiy-predohranitel-seryy/" TargetMode="External"/><Relationship Id="rId_hyperlink_5597" Type="http://schemas.openxmlformats.org/officeDocument/2006/relationships/hyperlink" Target="https://optovikufa.ru/product/220604/setevoy-filtr-perfeo-power-5m-5-rozetok-avtomaticheskiy-predohranitel-chernyy/" TargetMode="External"/><Relationship Id="rId_hyperlink_5598" Type="http://schemas.openxmlformats.org/officeDocument/2006/relationships/hyperlink" Target="https://optovikufa.ru/product/222368/setevoy-filtr-perfeo-powerx-18m-5-rozetok-avtomaticheskiy-predohranitel-seryy/" TargetMode="External"/><Relationship Id="rId_hyperlink_5599" Type="http://schemas.openxmlformats.org/officeDocument/2006/relationships/hyperlink" Target="https://optovikufa.ru/product/222370/setevoy-filtr-perfeo-powerx-3m-5-rozetok-avtomaticheskiy-predohranitel-seryy/" TargetMode="External"/><Relationship Id="rId_hyperlink_5600" Type="http://schemas.openxmlformats.org/officeDocument/2006/relationships/hyperlink" Target="https://optovikufa.ru/product/222371/setevoy-filtr-perfeo-powerx-3m-5-rozetok-avtomaticheskiy-predohranitel-chernyy/" TargetMode="External"/><Relationship Id="rId_hyperlink_5601" Type="http://schemas.openxmlformats.org/officeDocument/2006/relationships/hyperlink" Target="https://optovikufa.ru/product/222372/setevoy-filtr-perfeo-powerx-5m-5-rozetok-avtomaticheskiy-predohranitel-seryy/" TargetMode="External"/><Relationship Id="rId_hyperlink_5602" Type="http://schemas.openxmlformats.org/officeDocument/2006/relationships/hyperlink" Target="https://optovikufa.ru/product/222373/setevoy-filtr-perfeo-powerx-5m-5-rozetok-avtomaticheskiy-predohranitel-chernyy/" TargetMode="External"/><Relationship Id="rId_hyperlink_5603" Type="http://schemas.openxmlformats.org/officeDocument/2006/relationships/hyperlink" Target="https://optovikufa.ru/product/228375/setevoy-filtr-power-cube-5-h-19m-belyy/" TargetMode="External"/><Relationship Id="rId_hyperlink_5604" Type="http://schemas.openxmlformats.org/officeDocument/2006/relationships/hyperlink" Target="https://optovikufa.ru/product/228371/setevoy-filtr-power-cube-5-h-19m-seryy/" TargetMode="External"/><Relationship Id="rId_hyperlink_5605" Type="http://schemas.openxmlformats.org/officeDocument/2006/relationships/hyperlink" Target="https://optovikufa.ru/product/228378/setevoy-filtr-power-cube-5-h-19m-chernyy/" TargetMode="External"/><Relationship Id="rId_hyperlink_5606" Type="http://schemas.openxmlformats.org/officeDocument/2006/relationships/hyperlink" Target="https://optovikufa.ru/product/228376/setevoy-filtr-power-cube-5-h-3m-belyy/" TargetMode="External"/><Relationship Id="rId_hyperlink_5607" Type="http://schemas.openxmlformats.org/officeDocument/2006/relationships/hyperlink" Target="https://optovikufa.ru/product/228372/setevoy-filtr-power-cube-5-h-3m-seryy/" TargetMode="External"/><Relationship Id="rId_hyperlink_5608" Type="http://schemas.openxmlformats.org/officeDocument/2006/relationships/hyperlink" Target="https://optovikufa.ru/product/228379/setevoy-filtr-power-cube-5-h-3m-chernyy/" TargetMode="External"/><Relationship Id="rId_hyperlink_5609" Type="http://schemas.openxmlformats.org/officeDocument/2006/relationships/hyperlink" Target="https://optovikufa.ru/product/228377/setevoy-filtr-power-cube-5-h-47m-belyy/" TargetMode="External"/><Relationship Id="rId_hyperlink_5610" Type="http://schemas.openxmlformats.org/officeDocument/2006/relationships/hyperlink" Target="https://optovikufa.ru/product/228373/setevoy-filtr-power-cube-5-h-47m-seryy/" TargetMode="External"/><Relationship Id="rId_hyperlink_5611" Type="http://schemas.openxmlformats.org/officeDocument/2006/relationships/hyperlink" Target="https://optovikufa.ru/product/228380/setevoy-filtr-power-cube-5-h-47m-chernyy/" TargetMode="External"/><Relationship Id="rId_hyperlink_5612" Type="http://schemas.openxmlformats.org/officeDocument/2006/relationships/hyperlink" Target="https://optovikufa.ru/product/240572/setevoy-filtr-power-cube-5-h-7m-chernyy/" TargetMode="External"/><Relationship Id="rId_hyperlink_5613" Type="http://schemas.openxmlformats.org/officeDocument/2006/relationships/hyperlink" Target="https://optovikufa.ru/product/240573/setevoy-filtr-power-cube-6-h-195m-10a-2200vt-seryy/" TargetMode="External"/><Relationship Id="rId_hyperlink_5614" Type="http://schemas.openxmlformats.org/officeDocument/2006/relationships/hyperlink" Target="https://optovikufa.ru/product/237344/setevoy-filtr-power-cube-6-h-19m-16a-3500-vt-belyy/" TargetMode="External"/><Relationship Id="rId_hyperlink_5615" Type="http://schemas.openxmlformats.org/officeDocument/2006/relationships/hyperlink" Target="https://optovikufa.ru/product/240576/setevoy-filtr-power-cube-6-h-19m-16a-3500-vt-seryy/" TargetMode="External"/><Relationship Id="rId_hyperlink_5616" Type="http://schemas.openxmlformats.org/officeDocument/2006/relationships/hyperlink" Target="https://optovikufa.ru/product/240574/setevoy-filtr-power-cube-6-h-3m-10a-2200vt-seryy/" TargetMode="External"/><Relationship Id="rId_hyperlink_5617" Type="http://schemas.openxmlformats.org/officeDocument/2006/relationships/hyperlink" Target="https://optovikufa.ru/product/237345/setevoy-filtr-power-cube-6-h-3m-16a-3500-vt-belyy/" TargetMode="External"/><Relationship Id="rId_hyperlink_5618" Type="http://schemas.openxmlformats.org/officeDocument/2006/relationships/hyperlink" Target="https://optovikufa.ru/product/240577/setevoy-filtr-power-cube-6-h-3m-16a-3500-vt-seryy/" TargetMode="External"/><Relationship Id="rId_hyperlink_5619" Type="http://schemas.openxmlformats.org/officeDocument/2006/relationships/hyperlink" Target="https://optovikufa.ru/product/240575/setevoy-filtr-power-cube-6-h-5m-10a-2200vt-seryy/" TargetMode="External"/><Relationship Id="rId_hyperlink_5620" Type="http://schemas.openxmlformats.org/officeDocument/2006/relationships/hyperlink" Target="https://optovikufa.ru/product/237346/setevoy-filtr-power-cube-6-h-5m-16a-3500-vt-belyy/" TargetMode="External"/><Relationship Id="rId_hyperlink_5621" Type="http://schemas.openxmlformats.org/officeDocument/2006/relationships/hyperlink" Target="https://optovikufa.ru/product/242181/setevoy-filtr-smartbuy-16a-3500-vt-5-rozetok-s-zsh-pvs-3x10-mm-dlina-18m-belyy-sbsp-5-18-w/" TargetMode="External"/><Relationship Id="rId_hyperlink_5622" Type="http://schemas.openxmlformats.org/officeDocument/2006/relationships/hyperlink" Target="https://optovikufa.ru/product/242674/setevoy-filtr-smartbuy-16a-3500-vt-5-rozetok-s-zsh-pvs-3x10-mm-dlina-18m-seryy-sbsp-5-18-g/" TargetMode="External"/><Relationship Id="rId_hyperlink_5623" Type="http://schemas.openxmlformats.org/officeDocument/2006/relationships/hyperlink" Target="https://optovikufa.ru/product/242678/setevoy-filtr-smartbuy-16a-3500-vt-5-rozetok-s-zsh-pvs-3x10-mm-dlina-3m-belyy-sbsp-5-30-w/" TargetMode="External"/><Relationship Id="rId_hyperlink_5624" Type="http://schemas.openxmlformats.org/officeDocument/2006/relationships/hyperlink" Target="https://optovikufa.ru/product/242677/setevoy-filtr-smartbuy-16a-3500-vt-5-rozetok-s-zsh-pvs-3x10-mm-dlina-3m-seryy-sbsp-5-30-g/" TargetMode="External"/><Relationship Id="rId_hyperlink_5625" Type="http://schemas.openxmlformats.org/officeDocument/2006/relationships/hyperlink" Target="https://optovikufa.ru/product/142040/setevoy-filtr-smartbuy-one-10a-2200-vt-5-rozetok-dlina-18m-belyy-sbsp-18-w/" TargetMode="External"/><Relationship Id="rId_hyperlink_5626" Type="http://schemas.openxmlformats.org/officeDocument/2006/relationships/hyperlink" Target="https://optovikufa.ru/product/142042/setevoy-filtr-smartbuy-one-10a-2200-vt-5-rozetok-dlina-3m-belyy-sbsp-30-w/" TargetMode="External"/><Relationship Id="rId_hyperlink_5627" Type="http://schemas.openxmlformats.org/officeDocument/2006/relationships/hyperlink" Target="https://optovikufa.ru/product/142043/setevoy-filtr-smartbuy-one-10a-2200-vt-5-rozetok-dlina-3m-chernyy-sbsp-30-k/" TargetMode="External"/><Relationship Id="rId_hyperlink_5628" Type="http://schemas.openxmlformats.org/officeDocument/2006/relationships/hyperlink" Target="https://optovikufa.ru/product/160488/setevoy-filtr-smartbuy-one-10a-2200-vt-5-rozetok-dlina-5m-belyy-sbsp-50-w/" TargetMode="External"/><Relationship Id="rId_hyperlink_5629" Type="http://schemas.openxmlformats.org/officeDocument/2006/relationships/hyperlink" Target="https://optovikufa.ru/product/124510/setevoy-filtr-smartbuy-one-10a-2200-vt-5-rozetok-dlina-5m-chernyy-sbsp-50-k/" TargetMode="External"/><Relationship Id="rId_hyperlink_5630" Type="http://schemas.openxmlformats.org/officeDocument/2006/relationships/hyperlink" Target="https://optovikufa.ru/product/240877/setevoy-filtr-s-3-usb-dlya-zaryadki-live-power-lp3301-10a-2200-vt-3-rozetki-dlina-2m/" TargetMode="External"/><Relationship Id="rId_hyperlink_5631" Type="http://schemas.openxmlformats.org/officeDocument/2006/relationships/hyperlink" Target="https://optovikufa.ru/product/238262/stabilizator-napryazheniya-rucelf-releynyy-odnofaznyy-1kva-seriya-star/" TargetMode="External"/><Relationship Id="rId_hyperlink_5632" Type="http://schemas.openxmlformats.org/officeDocument/2006/relationships/hyperlink" Target="https://optovikufa.ru/product/149916/razvetvitel-elektricheskiy-toker-2t-belyy/" TargetMode="External"/><Relationship Id="rId_hyperlink_5633" Type="http://schemas.openxmlformats.org/officeDocument/2006/relationships/hyperlink" Target="https://optovikufa.ru/product/135464/razvetvitel-elektricheskiy-toker-2t-belyy-indupak/" TargetMode="External"/><Relationship Id="rId_hyperlink_5634" Type="http://schemas.openxmlformats.org/officeDocument/2006/relationships/hyperlink" Target="https://optovikufa.ru/product/237347/razvetvitel-elektricheskiy-toker-2t-chernyy/" TargetMode="External"/><Relationship Id="rId_hyperlink_5635" Type="http://schemas.openxmlformats.org/officeDocument/2006/relationships/hyperlink" Target="https://optovikufa.ru/product/149917/razvetvitel-elektricheskiy-toker-2t2-c-zazemleniem-belyy/" TargetMode="External"/><Relationship Id="rId_hyperlink_5636" Type="http://schemas.openxmlformats.org/officeDocument/2006/relationships/hyperlink" Target="https://optovikufa.ru/product/135463/razvetvitel-elektricheskiy-toker-2t2-c-zazemleniem-belyy-indupak/" TargetMode="External"/><Relationship Id="rId_hyperlink_5637" Type="http://schemas.openxmlformats.org/officeDocument/2006/relationships/hyperlink" Target="https://optovikufa.ru/product/237348/razvetvitel-elektricheskiy-toker-2t2-c-zazemleniem-chernyy/" TargetMode="External"/><Relationship Id="rId_hyperlink_5638" Type="http://schemas.openxmlformats.org/officeDocument/2006/relationships/hyperlink" Target="https://optovikufa.ru/product/149918/razvetvitel-elektricheskiy-toker-3l-belyy/" TargetMode="External"/><Relationship Id="rId_hyperlink_5639" Type="http://schemas.openxmlformats.org/officeDocument/2006/relationships/hyperlink" Target="https://optovikufa.ru/product/233264/razvetvitel-elektricheskiy-toker-3l-belyy-indiv-upakovka/" TargetMode="External"/><Relationship Id="rId_hyperlink_5640" Type="http://schemas.openxmlformats.org/officeDocument/2006/relationships/hyperlink" Target="https://optovikufa.ru/product/237351/razvetvitel-elektricheskiy-toker-3l-chernyy/" TargetMode="External"/><Relationship Id="rId_hyperlink_5641" Type="http://schemas.openxmlformats.org/officeDocument/2006/relationships/hyperlink" Target="https://optovikufa.ru/product/149919/razvetvitel-elektricheskiy-toker-3l3-belyy-s-zazemleniem/" TargetMode="External"/><Relationship Id="rId_hyperlink_5642" Type="http://schemas.openxmlformats.org/officeDocument/2006/relationships/hyperlink" Target="https://optovikufa.ru/product/237350/razvetvitel-elektricheskiy-toker-3l3-chernyy-s-zazemleniem/" TargetMode="External"/><Relationship Id="rId_hyperlink_5643" Type="http://schemas.openxmlformats.org/officeDocument/2006/relationships/hyperlink" Target="https://optovikufa.ru/product/136205/razvetvitel-elektricheskiy-toker-3t-bolshoy-belyy/" TargetMode="External"/><Relationship Id="rId_hyperlink_5644" Type="http://schemas.openxmlformats.org/officeDocument/2006/relationships/hyperlink" Target="https://optovikufa.ru/product/135461/razvetvitel-elektricheskiy-toker-3t-bolshoy-belyy-indupak/" TargetMode="External"/><Relationship Id="rId_hyperlink_5645" Type="http://schemas.openxmlformats.org/officeDocument/2006/relationships/hyperlink" Target="https://optovikufa.ru/product/136206/razvetvitel-elektricheskiy-toker-3t-bolshoy-chernyy/" TargetMode="External"/><Relationship Id="rId_hyperlink_5646" Type="http://schemas.openxmlformats.org/officeDocument/2006/relationships/hyperlink" Target="https://optovikufa.ru/product/135462/razvetvitel-elektricheskiy-toker-3t-bolshoy-chernyy-indupak/" TargetMode="External"/><Relationship Id="rId_hyperlink_5647" Type="http://schemas.openxmlformats.org/officeDocument/2006/relationships/hyperlink" Target="https://optovikufa.ru/product/153891/razvetvitel-elektricheskiy-toker-3t1-belyy-s-zazemleniem/" TargetMode="External"/><Relationship Id="rId_hyperlink_5648" Type="http://schemas.openxmlformats.org/officeDocument/2006/relationships/hyperlink" Target="https://optovikufa.ru/product/237349/razvetvitel-elektricheskiy-toker-3t1-chernyy-s-zazemleniem/" TargetMode="External"/><Relationship Id="rId_hyperlink_5649" Type="http://schemas.openxmlformats.org/officeDocument/2006/relationships/hyperlink" Target="https://optovikufa.ru/product/220082/razvetvitel-elektricheskiy-toker-3t16-iz-abs-plastika-16a-indupak-belyy/" TargetMode="External"/><Relationship Id="rId_hyperlink_5650" Type="http://schemas.openxmlformats.org/officeDocument/2006/relationships/hyperlink" Target="https://optovikufa.ru/product/136207/razvetvitel-elektricheskiy-toker-4t-bolshoy-belyy/" TargetMode="External"/><Relationship Id="rId_hyperlink_5651" Type="http://schemas.openxmlformats.org/officeDocument/2006/relationships/hyperlink" Target="https://optovikufa.ru/product/237372/razvetvitel-elektricheskiy-toker-4t-bolshoy-chernyy/" TargetMode="External"/><Relationship Id="rId_hyperlink_5652" Type="http://schemas.openxmlformats.org/officeDocument/2006/relationships/hyperlink" Target="https://optovikufa.ru/product/237373/razvetvitel-elektricheskiy-toker-4t4-bolshoy-chernyy-s-zazemleniem/" TargetMode="External"/><Relationship Id="rId_hyperlink_5653" Type="http://schemas.openxmlformats.org/officeDocument/2006/relationships/hyperlink" Target="https://optovikufa.ru/product/224114/troynik-setevoy-vikey-tc3-250v6a-bez-zazemleniya/" TargetMode="External"/><Relationship Id="rId_hyperlink_5654" Type="http://schemas.openxmlformats.org/officeDocument/2006/relationships/hyperlink" Target="https://optovikufa.ru/product/177197/troynik-setevoy-vikey-ts3-1z-250v16a-s-zazemleniem/" TargetMode="External"/><Relationship Id="rId_hyperlink_5655" Type="http://schemas.openxmlformats.org/officeDocument/2006/relationships/hyperlink" Target="https://optovikufa.ru/product/228896/troynik-setevoy-vikey-ts3-2z-250v16a-s-zazemleniem/" TargetMode="External"/><Relationship Id="rId_hyperlink_5656" Type="http://schemas.openxmlformats.org/officeDocument/2006/relationships/hyperlink" Target="https://optovikufa.ru/product/228897/troynik-setevoy-vikey-ts3-3z-250v16a-s-zazemleniem/" TargetMode="External"/><Relationship Id="rId_hyperlink_5657" Type="http://schemas.openxmlformats.org/officeDocument/2006/relationships/hyperlink" Target="https://optovikufa.ru/product/129818/troynik-setevoy-kruglyy-16a-belyy/" TargetMode="External"/><Relationship Id="rId_hyperlink_5658" Type="http://schemas.openxmlformats.org/officeDocument/2006/relationships/hyperlink" Target="https://optovikufa.ru/product/129819/troynik-setevoy-kruglyy-16a-chernyy/" TargetMode="External"/><Relationship Id="rId_hyperlink_5659" Type="http://schemas.openxmlformats.org/officeDocument/2006/relationships/hyperlink" Target="https://optovikufa.ru/product/191117/troynik-setevoy-universalnyy-belyy/" TargetMode="External"/><Relationship Id="rId_hyperlink_5660" Type="http://schemas.openxmlformats.org/officeDocument/2006/relationships/hyperlink" Target="https://optovikufa.ru/product/191118/troynik-setevoy-universalnyy-chernyy-/" TargetMode="External"/><Relationship Id="rId_hyperlink_5661" Type="http://schemas.openxmlformats.org/officeDocument/2006/relationships/hyperlink" Target="https://optovikufa.ru/product/222591/udlinitel-setevoy-defender-e518-5-mesta-18-metrov-2200vt-10a-s-zazemleniem/" TargetMode="External"/><Relationship Id="rId_hyperlink_5662" Type="http://schemas.openxmlformats.org/officeDocument/2006/relationships/hyperlink" Target="https://optovikufa.ru/product/236766/udlinitel-setevoy-defender-g518-5-mesta-18-metrov-2200vt-10a-s-vyklyuchatelem/" TargetMode="External"/><Relationship Id="rId_hyperlink_5663" Type="http://schemas.openxmlformats.org/officeDocument/2006/relationships/hyperlink" Target="https://optovikufa.ru/product/224013/udlinitel-setevoy-defender-s418-4-mesta-18-metrov-2200vt-10a-s-vyklyuchatelem-s-zazemleniem/" TargetMode="External"/><Relationship Id="rId_hyperlink_5664" Type="http://schemas.openxmlformats.org/officeDocument/2006/relationships/hyperlink" Target="https://optovikufa.ru/product/224015/udlinitel-setevoy-defender-s450-4-mesta-5-metrov-2200vt-10a-s-vyklyuchatelem-s-zazemleniem/" TargetMode="External"/><Relationship Id="rId_hyperlink_5665" Type="http://schemas.openxmlformats.org/officeDocument/2006/relationships/hyperlink" Target="https://optovikufa.ru/product/224016/udlinitel-setevoy-defender-s518-5-mest-18-metrov-2200vt-10a-s-vyklyuchatelem-s-zazemleniem/" TargetMode="External"/><Relationship Id="rId_hyperlink_5666" Type="http://schemas.openxmlformats.org/officeDocument/2006/relationships/hyperlink" Target="https://optovikufa.ru/product/236285/udlinitel-setevoy-perfeo-powermate-3-m-3-rozetki-belyy/" TargetMode="External"/><Relationship Id="rId_hyperlink_5667" Type="http://schemas.openxmlformats.org/officeDocument/2006/relationships/hyperlink" Target="https://optovikufa.ru/product/242928/udlinitel-setevoy-perfeo-powermate-5-m-3-rozetki-belyy/" TargetMode="External"/><Relationship Id="rId_hyperlink_5668" Type="http://schemas.openxmlformats.org/officeDocument/2006/relationships/hyperlink" Target="https://optovikufa.ru/product/242929/udlinitel-setevoy-perfeo-powermate-7-m-3-rozetki-belyy/" TargetMode="External"/><Relationship Id="rId_hyperlink_5669" Type="http://schemas.openxmlformats.org/officeDocument/2006/relationships/hyperlink" Target="https://optovikufa.ru/product/222674/udlinitel-setevoy-perfeo-powermate-s-knopkoy-18m-3-rozetki-belyy/" TargetMode="External"/><Relationship Id="rId_hyperlink_5670" Type="http://schemas.openxmlformats.org/officeDocument/2006/relationships/hyperlink" Target="https://optovikufa.ru/product/222364/udlinitel-setevoy-perfeo-powermate-s-knopkoy-18m-3-rozetki-chernyy/" TargetMode="External"/><Relationship Id="rId_hyperlink_5671" Type="http://schemas.openxmlformats.org/officeDocument/2006/relationships/hyperlink" Target="https://optovikufa.ru/product/221926/udlinitel-setevoy-perfeo-powermate-s-knopkoy-3m-3-rozetki-belyy/" TargetMode="External"/><Relationship Id="rId_hyperlink_5672" Type="http://schemas.openxmlformats.org/officeDocument/2006/relationships/hyperlink" Target="https://optovikufa.ru/product/222365/udlinitel-setevoy-perfeo-powermate-s-knopkoy-3m-3-rozetki-chernyy/" TargetMode="External"/><Relationship Id="rId_hyperlink_5673" Type="http://schemas.openxmlformats.org/officeDocument/2006/relationships/hyperlink" Target="https://optovikufa.ru/product/221927/udlinitel-setevoy-perfeo-powermate-s-knopkoy-5m-3-rozetki-belyy/" TargetMode="External"/><Relationship Id="rId_hyperlink_5674" Type="http://schemas.openxmlformats.org/officeDocument/2006/relationships/hyperlink" Target="https://optovikufa.ru/product/221929/udlinitel-setevoy-perfeo-powermate-s-knopkoy-5m-3-rozetki-chernyy/" TargetMode="External"/><Relationship Id="rId_hyperlink_5675" Type="http://schemas.openxmlformats.org/officeDocument/2006/relationships/hyperlink" Target="https://optovikufa.ru/product/223373/udlinitel-setevoy-smartbuy-2-mesta-5-metrov-pvs-31-s-zazemleniem-sbe-16-2-05-z/" TargetMode="External"/><Relationship Id="rId_hyperlink_5676" Type="http://schemas.openxmlformats.org/officeDocument/2006/relationships/hyperlink" Target="https://optovikufa.ru/product/221788/udlinitel-setevoy-smartbuy-3-mesta-15-metra-pvs-31-s-zazemleniem-sbe-16-3-15-z/" TargetMode="External"/><Relationship Id="rId_hyperlink_5677" Type="http://schemas.openxmlformats.org/officeDocument/2006/relationships/hyperlink" Target="https://optovikufa.ru/product/221075/udlinitel-setevoy-smartbuy-3-mesta-15-metrov-pvs-31-s-vyklyuchatelem-s-zazemleniem-sbe-16-3-15-zs/" TargetMode="External"/><Relationship Id="rId_hyperlink_5678" Type="http://schemas.openxmlformats.org/officeDocument/2006/relationships/hyperlink" Target="https://optovikufa.ru/product/221076/udlinitel-setevoy-smartbuy-3-mesta-2-metra-pvs-31-s-vyklyuchatelem-s-zazemleniem-sbe-16-3-02-zs/" TargetMode="External"/><Relationship Id="rId_hyperlink_5679" Type="http://schemas.openxmlformats.org/officeDocument/2006/relationships/hyperlink" Target="https://optovikufa.ru/product/221787/udlinitel-setevoy-smartbuy-3-mesta-2-metra-pvs-31-s-zazemleniem-sbe-16-3-02-z/" TargetMode="External"/><Relationship Id="rId_hyperlink_5680" Type="http://schemas.openxmlformats.org/officeDocument/2006/relationships/hyperlink" Target="https://optovikufa.ru/product/221077/udlinitel-setevoy-smartbuy-3-mesta-3-metra-pvs-31-s-vyklyuchatelem-s-zazemleniem-sbe-16-3-03-zs/" TargetMode="External"/><Relationship Id="rId_hyperlink_5681" Type="http://schemas.openxmlformats.org/officeDocument/2006/relationships/hyperlink" Target="https://optovikufa.ru/product/221733/udlinitel-setevoy-smartbuy-3-mesta-3-metra-pvs-31-s-zazemleniem-sbe-16-3-03-z/" TargetMode="External"/><Relationship Id="rId_hyperlink_5682" Type="http://schemas.openxmlformats.org/officeDocument/2006/relationships/hyperlink" Target="https://optovikufa.ru/product/221732/udlinitel-setevoy-smartbuy-3-mesta-5-metrov-pvs-31-s-vyklyuchatelem-s-zazemleniem-sbe-16-3-05-zs/" TargetMode="External"/><Relationship Id="rId_hyperlink_5683" Type="http://schemas.openxmlformats.org/officeDocument/2006/relationships/hyperlink" Target="https://optovikufa.ru/product/223376/udlinitel-setevoy-smartbuy-3-mesta-5-metrov-pvs-31-s-zazemleniem-sbe-16-3-05-z/" TargetMode="External"/><Relationship Id="rId_hyperlink_5684" Type="http://schemas.openxmlformats.org/officeDocument/2006/relationships/hyperlink" Target="https://optovikufa.ru/product/242690/udlinitel-setevoy-smartbuy-3-mesta-5-metrov-pvs-31-s-zazemleniem-new-sbe-16-3-5m-z/" TargetMode="External"/><Relationship Id="rId_hyperlink_5685" Type="http://schemas.openxmlformats.org/officeDocument/2006/relationships/hyperlink" Target="https://optovikufa.ru/product/228893/udlinitel-setevoy-smartbuy-3-mesta-7-metrov-pvs-31-s-zazemleniem-s-vyklyuchatelem-sbe-16-3-07-zs/" TargetMode="External"/><Relationship Id="rId_hyperlink_5686" Type="http://schemas.openxmlformats.org/officeDocument/2006/relationships/hyperlink" Target="https://optovikufa.ru/product/225471/udlinitel-setevoy-smartbuy-4-mesta-2-metra-pvs-31-s-vyklyuchatelem-s-zazemleniem-sbe-16-4-02-zs/" TargetMode="External"/><Relationship Id="rId_hyperlink_5687" Type="http://schemas.openxmlformats.org/officeDocument/2006/relationships/hyperlink" Target="https://optovikufa.ru/product/223378/udlinitel-setevoy-smartbuy-4-mesta-2-metra-pvs-31-s-zazemleniem-sbe-16-4-02-z/" TargetMode="External"/><Relationship Id="rId_hyperlink_5688" Type="http://schemas.openxmlformats.org/officeDocument/2006/relationships/hyperlink" Target="https://optovikufa.ru/product/223369/udlinitel-setevoy-smartbuy-4-mesta-3-metra-pvs-31-s-vyklyuchatelem-s-zazemleniem-sbe-16-4-03-zs/" TargetMode="External"/><Relationship Id="rId_hyperlink_5689" Type="http://schemas.openxmlformats.org/officeDocument/2006/relationships/hyperlink" Target="https://optovikufa.ru/product/223379/udlinitel-setevoy-smartbuy-4-mesta-3-metra-pvs-31-s-zazemleniem-sbe-16-4-03-z/" TargetMode="External"/><Relationship Id="rId_hyperlink_5690" Type="http://schemas.openxmlformats.org/officeDocument/2006/relationships/hyperlink" Target="https://optovikufa.ru/product/223370/udlinitel-setevoy-smartbuy-4-mesta-5-metrov-pvs-31-s-vyklyuchatelem-s-zazemleniem-sbe-16-4-05-zs/" TargetMode="External"/><Relationship Id="rId_hyperlink_5691" Type="http://schemas.openxmlformats.org/officeDocument/2006/relationships/hyperlink" Target="https://optovikufa.ru/product/225488/udlinitel-setevoy-smartbuy-4-mesta-5-metrov-pvs-31-s-zazemleniem-sbe-16-4-05-z/" TargetMode="External"/><Relationship Id="rId_hyperlink_5692" Type="http://schemas.openxmlformats.org/officeDocument/2006/relationships/hyperlink" Target="https://optovikufa.ru/product/237114/udlinitel-silovoy-s-vilkoy-i-rozetkoy-2ppe15-metra-3x10mm2-10a22kvt-ip44-sbe-16-1-10-f/" TargetMode="External"/><Relationship Id="rId_hyperlink_5693" Type="http://schemas.openxmlformats.org/officeDocument/2006/relationships/hyperlink" Target="https://optovikufa.ru/product/237116/udlinitel-silovoy-s-vilkoy-i-rozetkoy-2ppe5-metrov-3x10mm2-10a22kvt-ip44-sbe-16-1-30-f/" TargetMode="External"/><Relationship Id="rId_hyperlink_5694" Type="http://schemas.openxmlformats.org/officeDocument/2006/relationships/hyperlink" Target="https://optovikufa.ru/product/237117/udlinitel-silovoy-s-vilkoy-i-rozetkoy-2ppe7-metrov-3x10mm2-10a22kvt-ip44-sbe-16-1-40-f/" TargetMode="External"/><Relationship Id="rId_hyperlink_5695" Type="http://schemas.openxmlformats.org/officeDocument/2006/relationships/hyperlink" Target="https://optovikufa.ru/product/231543/ruletka-udlinitel-setevoy-vellkont-3-mesta-3-metra-individupakovka/" TargetMode="External"/><Relationship Id="rId_hyperlink_5696" Type="http://schemas.openxmlformats.org/officeDocument/2006/relationships/hyperlink" Target="https://optovikufa.ru/product/231544/ruletka-udlinitel-setevoy-vellkont-3-mesta-5-metrov/" TargetMode="External"/><Relationship Id="rId_hyperlink_5697" Type="http://schemas.openxmlformats.org/officeDocument/2006/relationships/hyperlink" Target="https://optovikufa.ru/product/154200/ruletka-udlinitel-setevoy-vellkont-3-mesta-5-metrov-individupakovka/" TargetMode="External"/><Relationship Id="rId_hyperlink_5698" Type="http://schemas.openxmlformats.org/officeDocument/2006/relationships/hyperlink" Target="https://optovikufa.ru/product/221724/udlinitel-setevoy-smartbuy-2-gnezda-3-metra-pvs-2x10-sbe-10-2-03-n/" TargetMode="External"/><Relationship Id="rId_hyperlink_5699" Type="http://schemas.openxmlformats.org/officeDocument/2006/relationships/hyperlink" Target="https://optovikufa.ru/product/225464/udlinitel-setevoy-smartbuy-2-gnezda-5-metrov-pvs-2x10-sbe-10-05-n/" TargetMode="External"/><Relationship Id="rId_hyperlink_5700" Type="http://schemas.openxmlformats.org/officeDocument/2006/relationships/hyperlink" Target="https://optovikufa.ru/product/221731/udlinitel-setevoy-smartbuy-3-gnezda-15-metra-pvs-2x10-bez-zazemleniya-sbe-10-3-15-n/" TargetMode="External"/><Relationship Id="rId_hyperlink_5701" Type="http://schemas.openxmlformats.org/officeDocument/2006/relationships/hyperlink" Target="https://optovikufa.ru/product/243039/udlinitel-setevoy-smartbuy-3-gnezda-15-metra-pvs-2x10-bez-zazemleniya-new-sbe-10-3-15m-n/" TargetMode="External"/><Relationship Id="rId_hyperlink_5702" Type="http://schemas.openxmlformats.org/officeDocument/2006/relationships/hyperlink" Target="https://optovikufa.ru/product/225465/udlinitel-setevoy-smartbuy-3-gnezda-10-metrov-pvs-2x10-bez-zazemleniya-sbe-10-3-10-n/" TargetMode="External"/><Relationship Id="rId_hyperlink_5703" Type="http://schemas.openxmlformats.org/officeDocument/2006/relationships/hyperlink" Target="https://optovikufa.ru/product/223879/udlinitel-setevoy-smartbuy-3-gnezda-2-metra-pvs-2x10-bez-zazemleniya-sbe-10-3-02-n/" TargetMode="External"/><Relationship Id="rId_hyperlink_5704" Type="http://schemas.openxmlformats.org/officeDocument/2006/relationships/hyperlink" Target="https://optovikufa.ru/product/223880/udlinitel-setevoy-smartbuy-3-gnezda-3-metra-pvs-2x10-bez-zazemleniya-sbe-10-3-03-n/" TargetMode="External"/><Relationship Id="rId_hyperlink_5705" Type="http://schemas.openxmlformats.org/officeDocument/2006/relationships/hyperlink" Target="https://optovikufa.ru/product/223881/udlinitel-setevoy-smartbuy-3-gnezda-5-metra-pvs-2x10-bez-zazemleniya-sbe-10-3-05-n/" TargetMode="External"/><Relationship Id="rId_hyperlink_5706" Type="http://schemas.openxmlformats.org/officeDocument/2006/relationships/hyperlink" Target="https://optovikufa.ru/product/225467/udlinitel-setevoy-smartbuy-3-gnezda-7-metrov-pvs-2x10-bez-zazemleniya-sbe-10-3-07-n/" TargetMode="External"/><Relationship Id="rId_hyperlink_5707" Type="http://schemas.openxmlformats.org/officeDocument/2006/relationships/hyperlink" Target="https://optovikufa.ru/product/225468/udlinitel-setevoy-smartbuy-4-gnezda-2-metra-pvs-2x10-bez-zazemleniya-sbe-10-4-02-n/" TargetMode="External"/><Relationship Id="rId_hyperlink_5708" Type="http://schemas.openxmlformats.org/officeDocument/2006/relationships/hyperlink" Target="https://optovikufa.ru/product/225469/udlinitel-setevoy-smartbuy-4-gnezda-3-metra-pvs-2x10-bez-zazemleniya-sbe-10-4-03-n/" TargetMode="External"/><Relationship Id="rId_hyperlink_5709" Type="http://schemas.openxmlformats.org/officeDocument/2006/relationships/hyperlink" Target="https://optovikufa.ru/product/225470/udlinitel-setevoy-smartbuy-4-gnezda-5-metrov-pvs-2x10-bez-zazemleniya-sbe-10-4-05-n/" TargetMode="External"/><Relationship Id="rId_hyperlink_5710" Type="http://schemas.openxmlformats.org/officeDocument/2006/relationships/hyperlink" Target="https://optovikufa.ru/product/127210/udlinitel-setevoy-dzhett-pc-2-2-mesta-3-metra-shvvp-205/" TargetMode="External"/><Relationship Id="rId_hyperlink_5711" Type="http://schemas.openxmlformats.org/officeDocument/2006/relationships/hyperlink" Target="https://optovikufa.ru/product/178496/udlinitel-setevoy-dzhett-pc-2-2-mesta-5-metrov-pvs-2075/" TargetMode="External"/><Relationship Id="rId_hyperlink_5712" Type="http://schemas.openxmlformats.org/officeDocument/2006/relationships/hyperlink" Target="https://optovikufa.ru/product/191152/udlinitel-setevoy-dzhett-pc-2-2-mesta-5-metrov-shvvp-205/" TargetMode="External"/><Relationship Id="rId_hyperlink_5713" Type="http://schemas.openxmlformats.org/officeDocument/2006/relationships/hyperlink" Target="https://optovikufa.ru/product/178497/udlinitel-setevoy-dzhett-pc-2-2-mesta-7-metrov-pvs-2075/" TargetMode="External"/><Relationship Id="rId_hyperlink_5714" Type="http://schemas.openxmlformats.org/officeDocument/2006/relationships/hyperlink" Target="https://optovikufa.ru/product/149760/udlinitel-setevoy-dzhett-pc-2-2-mesta-7-metrov-shvvp-205/" TargetMode="External"/><Relationship Id="rId_hyperlink_5715" Type="http://schemas.openxmlformats.org/officeDocument/2006/relationships/hyperlink" Target="https://optovikufa.ru/product/178498/udlinitel-setevoy-dzhett-pc-2-2-mesta-10-metrov-pvs-2075/" TargetMode="External"/><Relationship Id="rId_hyperlink_5716" Type="http://schemas.openxmlformats.org/officeDocument/2006/relationships/hyperlink" Target="https://optovikufa.ru/product/137208/udlinitel-setevoy-dzhett-pc-2-2-mesta-10-metrov-shvvp-205/" TargetMode="External"/><Relationship Id="rId_hyperlink_5717" Type="http://schemas.openxmlformats.org/officeDocument/2006/relationships/hyperlink" Target="https://optovikufa.ru/product/175404/udlinitel-setevoy-dzhett-pc-3-3-mesta-15-metra-pvs-2075/" TargetMode="External"/><Relationship Id="rId_hyperlink_5718" Type="http://schemas.openxmlformats.org/officeDocument/2006/relationships/hyperlink" Target="https://optovikufa.ru/product/175406/udlinitel-setevoy-dzhett-pc-3-3-mesta-3-metra-pvs-2075/" TargetMode="External"/><Relationship Id="rId_hyperlink_5719" Type="http://schemas.openxmlformats.org/officeDocument/2006/relationships/hyperlink" Target="https://optovikufa.ru/product/137302/udlinitel-setevoy-dzhett-pc-3-3-mesta-3-metra-shvvp-205/" TargetMode="External"/><Relationship Id="rId_hyperlink_5720" Type="http://schemas.openxmlformats.org/officeDocument/2006/relationships/hyperlink" Target="https://optovikufa.ru/product/175407/udlinitel-setevoy-dzhett-pc-3-3-mesta-5-metrov-pvs-2075/" TargetMode="External"/><Relationship Id="rId_hyperlink_5721" Type="http://schemas.openxmlformats.org/officeDocument/2006/relationships/hyperlink" Target="https://optovikufa.ru/product/191151/udlinitel-setevoy-dzhett-pc-3-3-mesta-5-metrov-shvvp-205/" TargetMode="External"/><Relationship Id="rId_hyperlink_5722" Type="http://schemas.openxmlformats.org/officeDocument/2006/relationships/hyperlink" Target="https://optovikufa.ru/product/178499/udlinitel-setevoy-dzhett-pc-3-3-mesta-7-metrov-pvs-2075/" TargetMode="External"/><Relationship Id="rId_hyperlink_5723" Type="http://schemas.openxmlformats.org/officeDocument/2006/relationships/hyperlink" Target="https://optovikufa.ru/product/191154/udlinitel-setevoy-dzhett-pc-3-3-mesta-7-metrov-shvvp-205/" TargetMode="External"/><Relationship Id="rId_hyperlink_5724" Type="http://schemas.openxmlformats.org/officeDocument/2006/relationships/hyperlink" Target="https://optovikufa.ru/product/178500/udlinitel-setevoy-dzhett-pc-3-3-mesta-10-metrov-pvs-2075/" TargetMode="External"/><Relationship Id="rId_hyperlink_5725" Type="http://schemas.openxmlformats.org/officeDocument/2006/relationships/hyperlink" Target="https://optovikufa.ru/product/129810/udlinitel-setevoy-dzhett-pc-3-3-mesta-10-metrov-shvvp-205/" TargetMode="External"/><Relationship Id="rId_hyperlink_5726" Type="http://schemas.openxmlformats.org/officeDocument/2006/relationships/hyperlink" Target="https://optovikufa.ru/product/141137/udlinitel-setevoy-dzhett-pc-4-4-mesta-3-metra-shvvp-205/" TargetMode="External"/><Relationship Id="rId_hyperlink_5727" Type="http://schemas.openxmlformats.org/officeDocument/2006/relationships/hyperlink" Target="https://optovikufa.ru/product/178502/udlinitel-setevoy-dzhett-pc-4-4-mesta-3-metra-pvs-2075/" TargetMode="External"/><Relationship Id="rId_hyperlink_5728" Type="http://schemas.openxmlformats.org/officeDocument/2006/relationships/hyperlink" Target="https://optovikufa.ru/product/178503/udlinitel-setevoy-dzhett-pc-4-4-mesta-5-metrov-pvs-2075/" TargetMode="External"/><Relationship Id="rId_hyperlink_5729" Type="http://schemas.openxmlformats.org/officeDocument/2006/relationships/hyperlink" Target="https://optovikufa.ru/product/129028/udlinitel-setevoy-dzhett-pc-4-4-mesta-5-metrov-shvvp-205/" TargetMode="External"/><Relationship Id="rId_hyperlink_5730" Type="http://schemas.openxmlformats.org/officeDocument/2006/relationships/hyperlink" Target="https://optovikufa.ru/product/178504/udlinitel-setevoy-dzhett-pc-4-4-mesta-7-metrov-pvs-2075/" TargetMode="External"/><Relationship Id="rId_hyperlink_5731" Type="http://schemas.openxmlformats.org/officeDocument/2006/relationships/hyperlink" Target="https://optovikufa.ru/product/159073/udlinitel-setevoy-dzhett-pc-4-4-mesta-7-metrov-shvvp-205/" TargetMode="External"/><Relationship Id="rId_hyperlink_5732" Type="http://schemas.openxmlformats.org/officeDocument/2006/relationships/hyperlink" Target="https://optovikufa.ru/product/178505/udlinitel-setevoy-dzhett-pc-4-4-mesta-10-metrov-pvs-2075/" TargetMode="External"/><Relationship Id="rId_hyperlink_5733" Type="http://schemas.openxmlformats.org/officeDocument/2006/relationships/hyperlink" Target="https://optovikufa.ru/product/137791/udlinitel-setevoy-dzhett-pc-4-4-mesta-10-metrov-shvvp-205/" TargetMode="External"/><Relationship Id="rId_hyperlink_5734" Type="http://schemas.openxmlformats.org/officeDocument/2006/relationships/hyperlink" Target="https://optovikufa.ru/product/149735/udlinitel-setevoy-obihod-pc-3-3-mesta-15-metrov-shvvp-205/" TargetMode="External"/><Relationship Id="rId_hyperlink_5735" Type="http://schemas.openxmlformats.org/officeDocument/2006/relationships/hyperlink" Target="https://optovikufa.ru/product/149759/udlinitel-setevoy-obihod-pc-3-3-mesta-10-metrov-shvvp-205/" TargetMode="External"/><Relationship Id="rId_hyperlink_5736" Type="http://schemas.openxmlformats.org/officeDocument/2006/relationships/hyperlink" Target="https://optovikufa.ru/product/149736/udlinitel-setevoy-obihod-pc-3-3-mesta-3-metra-shvvp-205/" TargetMode="External"/><Relationship Id="rId_hyperlink_5737" Type="http://schemas.openxmlformats.org/officeDocument/2006/relationships/hyperlink" Target="https://optovikufa.ru/product/149737/udlinitel-setevoy-obihod-pc-3-3-mesta-5-metrov-shvvp-205/" TargetMode="External"/><Relationship Id="rId_hyperlink_5738" Type="http://schemas.openxmlformats.org/officeDocument/2006/relationships/hyperlink" Target="https://optovikufa.ru/product/149738/udlinitel-setevoy-obihod-pc-3-3-mesta-7-metrov-shvvp-205/" TargetMode="External"/><Relationship Id="rId_hyperlink_5739" Type="http://schemas.openxmlformats.org/officeDocument/2006/relationships/hyperlink" Target="https://optovikufa.ru/product/143960/udlinitel-elektricheskiy-na-katushke-25m-pvs-2h075mm-bez-zazemleniya-1-gnezdo/" TargetMode="External"/><Relationship Id="rId_hyperlink_5740" Type="http://schemas.openxmlformats.org/officeDocument/2006/relationships/hyperlink" Target="https://optovikufa.ru/product/236727/udlinitel-elektricheskiy-na-katushke-40m-pvs-2h075mm-bez-zazemleniya-1-gnezdo/" TargetMode="External"/><Relationship Id="rId_hyperlink_5741" Type="http://schemas.openxmlformats.org/officeDocument/2006/relationships/hyperlink" Target="https://optovikufa.ru/product/127514/udlinitel-elektricheskiy-na-ramke-litoy-provod-pvs-215-16m/" TargetMode="External"/><Relationship Id="rId_hyperlink_5742" Type="http://schemas.openxmlformats.org/officeDocument/2006/relationships/hyperlink" Target="https://optovikufa.ru/product/135179/fonar-brelok-camelion-led-18-1mix/" TargetMode="External"/><Relationship Id="rId_hyperlink_5743" Type="http://schemas.openxmlformats.org/officeDocument/2006/relationships/hyperlink" Target="https://optovikufa.ru/product/143605/fonar-brelok-sledopyt-sl-031-5l-v-nabore/" TargetMode="External"/><Relationship Id="rId_hyperlink_5744" Type="http://schemas.openxmlformats.org/officeDocument/2006/relationships/hyperlink" Target="https://optovikufa.ru/product/143607/fonar-brelok-sledopyt-sl-041-5l-v-nabore/" TargetMode="External"/><Relationship Id="rId_hyperlink_5745" Type="http://schemas.openxmlformats.org/officeDocument/2006/relationships/hyperlink" Target="https://optovikufa.ru/product/143613/fonar-brelok-sledopyt-sl-207-1l-v-nabore-24sht/" TargetMode="External"/><Relationship Id="rId_hyperlink_5746" Type="http://schemas.openxmlformats.org/officeDocument/2006/relationships/hyperlink" Target="https://optovikufa.ru/product/148394/fonar-brelok-sledopyt-sl-509/" TargetMode="External"/><Relationship Id="rId_hyperlink_5747" Type="http://schemas.openxmlformats.org/officeDocument/2006/relationships/hyperlink" Target="https://optovikufa.ru/product/143615/fonar-brelok-sledopyt-sl-816-pomada-1l-v-nabore-20sht/" TargetMode="External"/><Relationship Id="rId_hyperlink_5748" Type="http://schemas.openxmlformats.org/officeDocument/2006/relationships/hyperlink" Target="https://optovikufa.ru/product/143623/fonar-brelok-sledopyt-sl-xs-1181-tapok-2l-v-nabore-48sht/" TargetMode="External"/><Relationship Id="rId_hyperlink_5749" Type="http://schemas.openxmlformats.org/officeDocument/2006/relationships/hyperlink" Target="https://optovikufa.ru/product/143624/fonar-brelok-sledopyt-sl-yg-530-mesyac-2l-v-nabore-36sht/" TargetMode="External"/><Relationship Id="rId_hyperlink_5750" Type="http://schemas.openxmlformats.org/officeDocument/2006/relationships/hyperlink" Target="https://optovikufa.ru/product/143625/fonar-brelok-sledopyt-sl-yg-539-cherep-2l-v-nabore-40sht/" TargetMode="External"/><Relationship Id="rId_hyperlink_5751" Type="http://schemas.openxmlformats.org/officeDocument/2006/relationships/hyperlink" Target="https://optovikufa.ru/product/238965/fonar-kempingovyy-jx-5602-akkum1cob-solnbat/" TargetMode="External"/><Relationship Id="rId_hyperlink_5752" Type="http://schemas.openxmlformats.org/officeDocument/2006/relationships/hyperlink" Target="https://optovikufa.ru/product/238966/fonar-kempingovyy-sh-1600-akkum1led12led-solnbat/" TargetMode="External"/><Relationship Id="rId_hyperlink_5753" Type="http://schemas.openxmlformats.org/officeDocument/2006/relationships/hyperlink" Target="https://optovikufa.ru/product/229112/fonar-kempingovyy-akkumul-smartbuy-24-led1vt-sbf-38-r/" TargetMode="External"/><Relationship Id="rId_hyperlink_5754" Type="http://schemas.openxmlformats.org/officeDocument/2006/relationships/hyperlink" Target="https://optovikufa.ru/product/148264/svetodiodnyy-fonar-smartbuy-48-led-s-karabinom-dlya-podveshivaniya-3aa-belyy-sbf-8254-w/" TargetMode="External"/><Relationship Id="rId_hyperlink_5755" Type="http://schemas.openxmlformats.org/officeDocument/2006/relationships/hyperlink" Target="https://optovikufa.ru/product/123213/svetodiodnyy-fonar-smartbuy-missouri-24-led-s-karabinom-dlya-podveshivaniya-belyy-sbf-8253-w/" TargetMode="External"/><Relationship Id="rId_hyperlink_5756" Type="http://schemas.openxmlformats.org/officeDocument/2006/relationships/hyperlink" Target="https://optovikufa.ru/product/239485/lazernaya-ukazka-laser-303-fioletovyy-luch/" TargetMode="External"/><Relationship Id="rId_hyperlink_5757" Type="http://schemas.openxmlformats.org/officeDocument/2006/relationships/hyperlink" Target="https://optovikufa.ru/product/238969/fonar-lazernaya-ukazka-1cob-1aa/" TargetMode="External"/><Relationship Id="rId_hyperlink_5758" Type="http://schemas.openxmlformats.org/officeDocument/2006/relationships/hyperlink" Target="https://optovikufa.ru/product/227639/fonar-nalobnyy-cy-909-1l-118650-zoom-t6/" TargetMode="External"/><Relationship Id="rId_hyperlink_5759" Type="http://schemas.openxmlformats.org/officeDocument/2006/relationships/hyperlink" Target="https://optovikufa.ru/product/234798/fonar-nalobnyy-dream-f1-chernyy/" TargetMode="External"/><Relationship Id="rId_hyperlink_5760" Type="http://schemas.openxmlformats.org/officeDocument/2006/relationships/hyperlink" Target="https://optovikufa.ru/product/241899/fonar-nalobnyy-dream-mx-501/" TargetMode="External"/><Relationship Id="rId_hyperlink_5761" Type="http://schemas.openxmlformats.org/officeDocument/2006/relationships/hyperlink" Target="https://optovikufa.ru/product/228233/fonar-nalobnyy-led-cy-800/" TargetMode="External"/><Relationship Id="rId_hyperlink_5762" Type="http://schemas.openxmlformats.org/officeDocument/2006/relationships/hyperlink" Target="https://optovikufa.ru/product/124907/fonar-nalobnyy-led-lp-582-vstroenakbzaryadka-ot-seti-220v/" TargetMode="External"/><Relationship Id="rId_hyperlink_5763" Type="http://schemas.openxmlformats.org/officeDocument/2006/relationships/hyperlink" Target="https://optovikufa.ru/product/124906/fonar-nalobnyy-led-lp-686-vstroenakbzaryadka-ot-seti-220v/" TargetMode="External"/><Relationship Id="rId_hyperlink_5764" Type="http://schemas.openxmlformats.org/officeDocument/2006/relationships/hyperlink" Target="https://optovikufa.ru/product/132443/fonar-nalobnyy-led-mr-901-vstroenakbzaryadka-ot-seti-220v/" TargetMode="External"/><Relationship Id="rId_hyperlink_5765" Type="http://schemas.openxmlformats.org/officeDocument/2006/relationships/hyperlink" Target="https://optovikufa.ru/product/222193/fonar-nalobnyy-led-sverhyarkiy-bl-9000/" TargetMode="External"/><Relationship Id="rId_hyperlink_5766" Type="http://schemas.openxmlformats.org/officeDocument/2006/relationships/hyperlink" Target="https://optovikufa.ru/product/239892/fonar-nalobnyy-led-sverhyarkiy-kx-1804-akkumulyatornyy-1l118650-t6/" TargetMode="External"/><Relationship Id="rId_hyperlink_5767" Type="http://schemas.openxmlformats.org/officeDocument/2006/relationships/hyperlink" Target="https://optovikufa.ru/product/217657/fonar-nalobnyy-led-sverhyarkiy-t-163-1l-118650-zoom-t6/" TargetMode="External"/><Relationship Id="rId_hyperlink_5768" Type="http://schemas.openxmlformats.org/officeDocument/2006/relationships/hyperlink" Target="https://optovikufa.ru/product/234869/fonar-nalobnyy-led-sverhyarkiy-t-165-1l-118650-zoom-t6/" TargetMode="External"/><Relationship Id="rId_hyperlink_5769" Type="http://schemas.openxmlformats.org/officeDocument/2006/relationships/hyperlink" Target="https://optovikufa.ru/product/221282/fonar-nalobnyy-xst-211/" TargetMode="External"/><Relationship Id="rId_hyperlink_5770" Type="http://schemas.openxmlformats.org/officeDocument/2006/relationships/hyperlink" Target="https://optovikufa.ru/product/229372/fonar-nalobnyy-akkumulyatornyy-boruit-b36-200lum-5w-6000k/" TargetMode="External"/><Relationship Id="rId_hyperlink_5771" Type="http://schemas.openxmlformats.org/officeDocument/2006/relationships/hyperlink" Target="https://optovikufa.ru/product/233827/fonar-nalobnyy-akkumulyatornyy-smartbuy-sbf-hl036/" TargetMode="External"/><Relationship Id="rId_hyperlink_5772" Type="http://schemas.openxmlformats.org/officeDocument/2006/relationships/hyperlink" Target="https://optovikufa.ru/product/148261/fonar-nalobnyy-akkumulyatornyy-smartbuy-12led-siniy-sbf-26-b/" TargetMode="External"/><Relationship Id="rId_hyperlink_5773" Type="http://schemas.openxmlformats.org/officeDocument/2006/relationships/hyperlink" Target="https://optovikufa.ru/product/148262/fonar-nalobnyy-akkumulyatornyy-smartbuy-1vt8led-siniy-sbf-25-b/" TargetMode="External"/><Relationship Id="rId_hyperlink_5774" Type="http://schemas.openxmlformats.org/officeDocument/2006/relationships/hyperlink" Target="https://optovikufa.ru/product/242886/fonar-nalobnyy-akkumulyatornyy-smartbuy-3vt-led3vt-cob-sbf-hl038/" TargetMode="External"/><Relationship Id="rId_hyperlink_5775" Type="http://schemas.openxmlformats.org/officeDocument/2006/relationships/hyperlink" Target="https://optovikufa.ru/product/148263/fonar-nalobnyy-akkumulyatornyy-smartbuy-7led-siniy-sbf-24-b/" TargetMode="External"/><Relationship Id="rId_hyperlink_5776" Type="http://schemas.openxmlformats.org/officeDocument/2006/relationships/hyperlink" Target="https://optovikufa.ru/product/235579/fonar-nalobnyy-akkumulyatornyy-smartbuy-sbf-hl037/" TargetMode="External"/><Relationship Id="rId_hyperlink_5777" Type="http://schemas.openxmlformats.org/officeDocument/2006/relationships/hyperlink" Target="https://optovikufa.ru/product/238016/fonar-nalobnyy-akkumulyatornyy-patriot-pt-flg12/" TargetMode="External"/><Relationship Id="rId_hyperlink_5778" Type="http://schemas.openxmlformats.org/officeDocument/2006/relationships/hyperlink" Target="https://optovikufa.ru/product/234366/fonar-nalobnyy-akkumulyatornyy-patriot-pt-flg25/" TargetMode="External"/><Relationship Id="rId_hyperlink_5779" Type="http://schemas.openxmlformats.org/officeDocument/2006/relationships/hyperlink" Target="https://optovikufa.ru/product/238018/fonar-nalobnyy-akkumulyatornyy-patriot-pt-flg30/" TargetMode="External"/><Relationship Id="rId_hyperlink_5780" Type="http://schemas.openxmlformats.org/officeDocument/2006/relationships/hyperlink" Target="https://optovikufa.ru/product/230532/fonar-nalobnyy-akkumulyatornyy-patriot-pt-flg31/" TargetMode="External"/><Relationship Id="rId_hyperlink_5781" Type="http://schemas.openxmlformats.org/officeDocument/2006/relationships/hyperlink" Target="https://optovikufa.ru/product/230533/fonar-nalobnyy-akkumulyatornyy-patriot-pt-flg38/" TargetMode="External"/><Relationship Id="rId_hyperlink_5782" Type="http://schemas.openxmlformats.org/officeDocument/2006/relationships/hyperlink" Target="https://optovikufa.ru/product/241690/fonar-nalobnyy-akkumulyatornyy-patriot-pt-flg48a-1led/" TargetMode="External"/><Relationship Id="rId_hyperlink_5783" Type="http://schemas.openxmlformats.org/officeDocument/2006/relationships/hyperlink" Target="https://optovikufa.ru/product/241691/fonar-nalobnyy-akkumulyatornyy-patriot-pt-flg48b-3led/" TargetMode="External"/><Relationship Id="rId_hyperlink_5784" Type="http://schemas.openxmlformats.org/officeDocument/2006/relationships/hyperlink" Target="https://optovikufa.ru/product/241692/fonar-nalobnyy-akkumulyatornyy-patriot-pt-flg48c-2led/" TargetMode="External"/><Relationship Id="rId_hyperlink_5785" Type="http://schemas.openxmlformats.org/officeDocument/2006/relationships/hyperlink" Target="https://optovikufa.ru/product/231494/fonar-nalobnyy-akkumulyatornyy-sputnik-afh729-3w/" TargetMode="External"/><Relationship Id="rId_hyperlink_5786" Type="http://schemas.openxmlformats.org/officeDocument/2006/relationships/hyperlink" Target="https://optovikufa.ru/product/219866/fonar-nalobnyy-svetodiodnyy-nl-kx-1801/" TargetMode="External"/><Relationship Id="rId_hyperlink_5787" Type="http://schemas.openxmlformats.org/officeDocument/2006/relationships/hyperlink" Target="https://optovikufa.ru/product/226151/fonar-svetodiodnyy-akkumul-sputnik-afh730-3w/" TargetMode="External"/><Relationship Id="rId_hyperlink_5788" Type="http://schemas.openxmlformats.org/officeDocument/2006/relationships/hyperlink" Target="https://optovikufa.ru/product/240789/fonar-nalobnyy-akkumulyatornyy-svetodiod-xhp160-218650-v-komplekte-usb-razem-dlya-zaryada/" TargetMode="External"/><Relationship Id="rId_hyperlink_5789" Type="http://schemas.openxmlformats.org/officeDocument/2006/relationships/hyperlink" Target="https://optovikufa.ru/product/171805/svetodiodnyy-nalobnyy-fonar-smartbuy-3vt-sbf-hl021/" TargetMode="External"/><Relationship Id="rId_hyperlink_5790" Type="http://schemas.openxmlformats.org/officeDocument/2006/relationships/hyperlink" Target="https://optovikufa.ru/product/222541/svetodiodnyy-nalobnyy-fonar-smartbuy-3vt-cob-chernyy-sbf-hl029/" TargetMode="External"/><Relationship Id="rId_hyperlink_5791" Type="http://schemas.openxmlformats.org/officeDocument/2006/relationships/hyperlink" Target="https://optovikufa.ru/product/229113/svetodiodnyy-nalobnyy-fonar-smartbuy-3vt-cob-chernyy-sbf-hl031/" TargetMode="External"/><Relationship Id="rId_hyperlink_5792" Type="http://schemas.openxmlformats.org/officeDocument/2006/relationships/hyperlink" Target="https://optovikufa.ru/product/229152/svetodiodnyy-nalobnyy-fonar-smartbuy-3vt-led-chernyy-sbf-hl030/" TargetMode="External"/><Relationship Id="rId_hyperlink_5793" Type="http://schemas.openxmlformats.org/officeDocument/2006/relationships/hyperlink" Target="https://optovikufa.ru/product/123219/svetodiodnyy-nalobnyy-fonar-smartbuy-yukon-21-led-chernyy-sbf-hl006-k/" TargetMode="External"/><Relationship Id="rId_hyperlink_5794" Type="http://schemas.openxmlformats.org/officeDocument/2006/relationships/hyperlink" Target="https://optovikufa.ru/product/228739/fonar-nalobnyy-f1-mx-101-cob-led-chernyy/" TargetMode="External"/><Relationship Id="rId_hyperlink_5795" Type="http://schemas.openxmlformats.org/officeDocument/2006/relationships/hyperlink" Target="https://optovikufa.ru/product/239497/fonar-nalobnyy-bzm001mx-6611-zoom-3aaa/" TargetMode="External"/><Relationship Id="rId_hyperlink_5796" Type="http://schemas.openxmlformats.org/officeDocument/2006/relationships/hyperlink" Target="https://optovikufa.ru/product/230845/fonar-nalobnyy-garin-lux-hl9cob-3vt-bl-1/" TargetMode="External"/><Relationship Id="rId_hyperlink_5797" Type="http://schemas.openxmlformats.org/officeDocument/2006/relationships/hyperlink" Target="https://optovikufa.ru/product/229710/fonar-nalobnyy-svetodiodnyy-ch-2016-chernyy-siniy/" TargetMode="External"/><Relationship Id="rId_hyperlink_5798" Type="http://schemas.openxmlformats.org/officeDocument/2006/relationships/hyperlink" Target="https://optovikufa.ru/product/220910/prozhektor-svetodiodnyy-hb-9707a-1-akkumulyatornyy-solnechnaya-batareya-usb-zelenyy/" TargetMode="External"/><Relationship Id="rId_hyperlink_5799" Type="http://schemas.openxmlformats.org/officeDocument/2006/relationships/hyperlink" Target="https://optovikufa.ru/product/220912/prozhektor-svetodiodnyy-hb-9707a-1-zelenyy/" TargetMode="External"/><Relationship Id="rId_hyperlink_5800" Type="http://schemas.openxmlformats.org/officeDocument/2006/relationships/hyperlink" Target="https://optovikufa.ru/product/220911/prozhektor-svetodiodnyy-hb-9707a-2-akkumulyatornyy-solnechnaya-batareya-usb-siniy/" TargetMode="External"/><Relationship Id="rId_hyperlink_5801" Type="http://schemas.openxmlformats.org/officeDocument/2006/relationships/hyperlink" Target="https://optovikufa.ru/product/237899/fonar-prozhektor-akkum-lp-209-cob-1-led-3-rezhima-raboty-zaryadka-ot-seti4aa/" TargetMode="External"/><Relationship Id="rId_hyperlink_5802" Type="http://schemas.openxmlformats.org/officeDocument/2006/relationships/hyperlink" Target="https://optovikufa.ru/product/237902/fonar-prozhektor-akkum-ss-5918-1led1w14led3w-2-rezhima-raboty-zaryadka-ot-seti-remeshok/" TargetMode="External"/><Relationship Id="rId_hyperlink_5803" Type="http://schemas.openxmlformats.org/officeDocument/2006/relationships/hyperlink" Target="https://optovikufa.ru/product/238103/fonar-prozhektor-akkum-ss-5918-2-1led1w1led3w2-rezhima-raboty-zaryadka-ot-seti-remeshok/" TargetMode="External"/><Relationship Id="rId_hyperlink_5804" Type="http://schemas.openxmlformats.org/officeDocument/2006/relationships/hyperlink" Target="https://optovikufa.ru/product/238967/fonar-prozhektor-akkum-yw-9909-1led16led-2-rezhima-raboty-zaryadka-ot-seti/" TargetMode="External"/><Relationship Id="rId_hyperlink_5805" Type="http://schemas.openxmlformats.org/officeDocument/2006/relationships/hyperlink" Target="https://optovikufa.ru/product/148270/fonar-prozhektor-akkumulyatornyy-smartbuy-2v1-1w18-smd-chernyy-sbf-303-k/" TargetMode="External"/><Relationship Id="rId_hyperlink_5806" Type="http://schemas.openxmlformats.org/officeDocument/2006/relationships/hyperlink" Target="https://optovikufa.ru/product/148272/fonar-prozhektor-akkumulyatornyy-smartbuy-5w-chernyy-sbf-355-k/" TargetMode="External"/><Relationship Id="rId_hyperlink_5807" Type="http://schemas.openxmlformats.org/officeDocument/2006/relationships/hyperlink" Target="https://optovikufa.ru/product/229214/fonar-svetodiodnyy-akkumul-sputnik-2vt-12smd-akkumulyator-1600mach-afp812/" TargetMode="External"/><Relationship Id="rId_hyperlink_5808" Type="http://schemas.openxmlformats.org/officeDocument/2006/relationships/hyperlink" Target="https://optovikufa.ru/product/229217/fonar-svetodiodnyy-akkumul-sputnik-3-vt-cob-led-3-vt-akkumulyator-650mach-afp910/" TargetMode="External"/><Relationship Id="rId_hyperlink_5809" Type="http://schemas.openxmlformats.org/officeDocument/2006/relationships/hyperlink" Target="https://optovikufa.ru/product/235603/fonar-svetodiodnyy-akkumul-sputnik-3vt-24smd-akkumulyator-1300mach-afp930/" TargetMode="External"/><Relationship Id="rId_hyperlink_5810" Type="http://schemas.openxmlformats.org/officeDocument/2006/relationships/hyperlink" Target="https://optovikufa.ru/product/231492/fonar-svetodiodnyy-akkumul-sputnik-3vt-24smd-akkumulyator-1300mach-afp932/" TargetMode="External"/><Relationship Id="rId_hyperlink_5811" Type="http://schemas.openxmlformats.org/officeDocument/2006/relationships/hyperlink" Target="https://optovikufa.ru/product/235600/fonar-svetodiodnyy-akkumul-sputnik-5vt-30smd-akkumulyator-1600mach-afp925/" TargetMode="External"/><Relationship Id="rId_hyperlink_5812" Type="http://schemas.openxmlformats.org/officeDocument/2006/relationships/hyperlink" Target="https://optovikufa.ru/product/229215/fonar-svetodiodnyy-akkumul-sputnik-5vt-akkumulyator-2500mach-afp821/" TargetMode="External"/><Relationship Id="rId_hyperlink_5813" Type="http://schemas.openxmlformats.org/officeDocument/2006/relationships/hyperlink" Target="https://optovikufa.ru/product/220918/fonar-me-mx-1501-cob-led-chernyy/" TargetMode="External"/><Relationship Id="rId_hyperlink_5814" Type="http://schemas.openxmlformats.org/officeDocument/2006/relationships/hyperlink" Target="https://optovikufa.ru/product/221541/fonar-me-mx-611-cob-chernyy/" TargetMode="External"/><Relationship Id="rId_hyperlink_5815" Type="http://schemas.openxmlformats.org/officeDocument/2006/relationships/hyperlink" Target="https://optovikufa.ru/product/221773/fonar-mx-515-usb-1led-akkumulyator-chernyy/" TargetMode="External"/><Relationship Id="rId_hyperlink_5816" Type="http://schemas.openxmlformats.org/officeDocument/2006/relationships/hyperlink" Target="https://optovikufa.ru/product/239913/fonar-ruchnoy-bl511-akkumulyatornyy-1ledbokovoy-cob-v-plastikovom-bokse-usb-micro-zoom/" TargetMode="External"/><Relationship Id="rId_hyperlink_5817" Type="http://schemas.openxmlformats.org/officeDocument/2006/relationships/hyperlink" Target="https://optovikufa.ru/product/240265/fonar-ruchnoy-l-830-akkumulyatornyy-bokovaya-cob-panel-usb-micro-zoom-3-rezhima/" TargetMode="External"/><Relationship Id="rId_hyperlink_5818" Type="http://schemas.openxmlformats.org/officeDocument/2006/relationships/hyperlink" Target="https://optovikufa.ru/product/235629/fonar-ruchnoy-yyc-513-t6-akkumulyatornyy-1led-cob-v-plastik-bokse-usb-micro-zoom/" TargetMode="External"/><Relationship Id="rId_hyperlink_5819" Type="http://schemas.openxmlformats.org/officeDocument/2006/relationships/hyperlink" Target="https://optovikufa.ru/product/239492/fonar-ruchnoy-yyc-861-akkumulyatornyy-1led-cob-v-plastik-bokseusb-micro-zoom/" TargetMode="External"/><Relationship Id="rId_hyperlink_5820" Type="http://schemas.openxmlformats.org/officeDocument/2006/relationships/hyperlink" Target="https://optovikufa.ru/product/239493/fonar-ruchnoy-yyc-862-akkumulyatornyy-1led-cob-v-plastik-bokseusb-micro-zoom/" TargetMode="External"/><Relationship Id="rId_hyperlink_5821" Type="http://schemas.openxmlformats.org/officeDocument/2006/relationships/hyperlink" Target="https://optovikufa.ru/product/239494/fonar-ruchnoy-yyc-863-akkumulyatornyy-1led-cob/" TargetMode="External"/><Relationship Id="rId_hyperlink_5822" Type="http://schemas.openxmlformats.org/officeDocument/2006/relationships/hyperlink" Target="https://optovikufa.ru/product/241270/fonar-ruchnoy-yyc-981-akkumulyatornyy-1led-cob-v-korobke-usb-micro-zoom/" TargetMode="External"/><Relationship Id="rId_hyperlink_5823" Type="http://schemas.openxmlformats.org/officeDocument/2006/relationships/hyperlink" Target="https://optovikufa.ru/product/241958/fonar-ruchnoy-yyc-982-akkumulyatornyy-1led-cob-v-plastikovom-bokse-usb-micro-zoom/" TargetMode="External"/><Relationship Id="rId_hyperlink_5824" Type="http://schemas.openxmlformats.org/officeDocument/2006/relationships/hyperlink" Target="https://optovikufa.ru/product/241959/fonar-ruchnoy-yyc-983-akkumulyatornyy-1led-cob-v-plastikovom-bokse-usb-micro-zoom/" TargetMode="External"/><Relationship Id="rId_hyperlink_5825" Type="http://schemas.openxmlformats.org/officeDocument/2006/relationships/hyperlink" Target="https://optovikufa.ru/product/227790/fonar-ruchnoy-akkumulyatornyy-boruit-s8-10-w-1050-lum-6000-k-1led-osram-nm1-do-1000-metrov-118650/" TargetMode="External"/><Relationship Id="rId_hyperlink_5826" Type="http://schemas.openxmlformats.org/officeDocument/2006/relationships/hyperlink" Target="https://optovikufa.ru/product/230849/fonar-ruchnoy-akkumulyatornyy-xpe-3vt-akkumulyator-14500-garin-lux-mr3-3w/" TargetMode="External"/><Relationship Id="rId_hyperlink_5827" Type="http://schemas.openxmlformats.org/officeDocument/2006/relationships/hyperlink" Target="https://optovikufa.ru/product/230850/fonar-ruchnoy-akkumulyatornyy-xpe-3vt-akkumulyator-14500-garin-lux-mr3-3wcob/" TargetMode="External"/><Relationship Id="rId_hyperlink_5828" Type="http://schemas.openxmlformats.org/officeDocument/2006/relationships/hyperlink" Target="https://optovikufa.ru/product/232846/fonar-ruchnoy-akkumulyatornyy-3vt-garin-lux-mr-5w/" TargetMode="External"/><Relationship Id="rId_hyperlink_5829" Type="http://schemas.openxmlformats.org/officeDocument/2006/relationships/hyperlink" Target="https://optovikufa.ru/product/235229/fonar-ruchnoy-patriot-akkum-zoom-pt-flr11/" TargetMode="External"/><Relationship Id="rId_hyperlink_5830" Type="http://schemas.openxmlformats.org/officeDocument/2006/relationships/hyperlink" Target="https://optovikufa.ru/product/146297/fonar-ruchnoy-patriot-pt-flr07-600-lum-10w-6000k/" TargetMode="External"/><Relationship Id="rId_hyperlink_5831" Type="http://schemas.openxmlformats.org/officeDocument/2006/relationships/hyperlink" Target="https://optovikufa.ru/product/223960/fonar-ruchnoy-patriot-pt-flr12-1l18650-zoom/" TargetMode="External"/><Relationship Id="rId_hyperlink_5832" Type="http://schemas.openxmlformats.org/officeDocument/2006/relationships/hyperlink" Target="https://optovikufa.ru/product/165442/fonar-ruchnoy-patriot-pt-flr13/" TargetMode="External"/><Relationship Id="rId_hyperlink_5833" Type="http://schemas.openxmlformats.org/officeDocument/2006/relationships/hyperlink" Target="https://optovikufa.ru/product/146296/fonar-ruchnoy-patriot-pt-flr14-1l18650-zoom/" TargetMode="External"/><Relationship Id="rId_hyperlink_5834" Type="http://schemas.openxmlformats.org/officeDocument/2006/relationships/hyperlink" Target="https://optovikufa.ru/product/144179/fonar-ruchnoy-patriot-pt-flr16-300-lum-3w-6000k/" TargetMode="External"/><Relationship Id="rId_hyperlink_5835" Type="http://schemas.openxmlformats.org/officeDocument/2006/relationships/hyperlink" Target="https://optovikufa.ru/product/220919/fonar-svetodiodnyy-dream-mx-501-cob-led-chernyy/" TargetMode="External"/><Relationship Id="rId_hyperlink_5836" Type="http://schemas.openxmlformats.org/officeDocument/2006/relationships/hyperlink" Target="https://optovikufa.ru/product/239435/fonar-svetodiodnyy-akkumulyatornyy-smartbuy-sbf-13-b-3vt-led-3-vt-cob-chernyy/" TargetMode="External"/><Relationship Id="rId_hyperlink_5837" Type="http://schemas.openxmlformats.org/officeDocument/2006/relationships/hyperlink" Target="https://optovikufa.ru/product/240794/fonar-akkumulyatornyy-alyuminievyy-svetodiod-xhp160-cob-226650-v-komplekte-displey-zaryada-dlina-260mm/" TargetMode="External"/><Relationship Id="rId_hyperlink_5838" Type="http://schemas.openxmlformats.org/officeDocument/2006/relationships/hyperlink" Target="https://optovikufa.ru/product/240792/fonar-akkumulyatornyy-alyuminievyy-svetodiod-xhp50-118650-v-komplekte-displey-zaryada-dlina-179mm/" TargetMode="External"/><Relationship Id="rId_hyperlink_5839" Type="http://schemas.openxmlformats.org/officeDocument/2006/relationships/hyperlink" Target="https://optovikufa.ru/product/240791/fonar-akkumulyatornyy-alyuminievyy-svetodiod-xhp90-218650-v-komplekte-displey-zaryada-dlina-252mm/" TargetMode="External"/><Relationship Id="rId_hyperlink_5840" Type="http://schemas.openxmlformats.org/officeDocument/2006/relationships/hyperlink" Target="https://optovikufa.ru/product/238332/fonar-svetodiodnyy-akkumulyatornyy-smartbuy-cree-xpe-4vt-s-sistemoy-fokusirovki-lucha-chernyy-sbf-307a/" TargetMode="External"/><Relationship Id="rId_hyperlink_5841" Type="http://schemas.openxmlformats.org/officeDocument/2006/relationships/hyperlink" Target="https://optovikufa.ru/product/239490/fonar-ruchnoy-bl-659yd-659-akkumulyatornyy-usb-micro-zoom/" TargetMode="External"/><Relationship Id="rId_hyperlink_5842" Type="http://schemas.openxmlformats.org/officeDocument/2006/relationships/hyperlink" Target="https://optovikufa.ru/product/238737/fonar-ruchnoy-bl-688-akkumulyatornyy/" TargetMode="External"/><Relationship Id="rId_hyperlink_5843" Type="http://schemas.openxmlformats.org/officeDocument/2006/relationships/hyperlink" Target="https://optovikufa.ru/product/238742/fonar-ruchnoy-bl-8809-akkumulyatornyy-usb-micro-zoom/" TargetMode="External"/><Relationship Id="rId_hyperlink_5844" Type="http://schemas.openxmlformats.org/officeDocument/2006/relationships/hyperlink" Target="https://optovikufa.ru/product/238740/fonar-ruchnoy-bl-8810-akkumulyatornyy-usb-micro-zoom/" TargetMode="External"/><Relationship Id="rId_hyperlink_5845" Type="http://schemas.openxmlformats.org/officeDocument/2006/relationships/hyperlink" Target="https://optovikufa.ru/product/238743/fonar-ruchnoy-bl-8813-akkumulyatornyy-usb-micro-zoom/" TargetMode="External"/><Relationship Id="rId_hyperlink_5846" Type="http://schemas.openxmlformats.org/officeDocument/2006/relationships/hyperlink" Target="https://optovikufa.ru/product/239491/fonar-ruchnoy-l-839-akkumulyatornyy-usb-micro-zoom-3-rezhima/" TargetMode="External"/><Relationship Id="rId_hyperlink_5847" Type="http://schemas.openxmlformats.org/officeDocument/2006/relationships/hyperlink" Target="https://optovikufa.ru/product/238739/fonar-ruchnoy-ly-1928-akkumulyatornyy-usb-micro-zoom/" TargetMode="External"/><Relationship Id="rId_hyperlink_5848" Type="http://schemas.openxmlformats.org/officeDocument/2006/relationships/hyperlink" Target="https://optovikufa.ru/product/238736/fonar-ruchnoy-yd-658-4-akkumulyatornyy/" TargetMode="External"/><Relationship Id="rId_hyperlink_5849" Type="http://schemas.openxmlformats.org/officeDocument/2006/relationships/hyperlink" Target="https://optovikufa.ru/product/238733/fonar-ruchnoy-yyc-535-akkumulyatornyy-1led-cob-v-plastik-bokse-usb-micro-zoom/" TargetMode="External"/><Relationship Id="rId_hyperlink_5850" Type="http://schemas.openxmlformats.org/officeDocument/2006/relationships/hyperlink" Target="https://optovikufa.ru/product/238734/fonar-ruchnoy-yyc-535-1-akkumulyatornyy-1led-cob-haki/" TargetMode="External"/><Relationship Id="rId_hyperlink_5851" Type="http://schemas.openxmlformats.org/officeDocument/2006/relationships/hyperlink" Target="https://optovikufa.ru/product/240370/fonar-ruchnoy-akkum-l-826-akkumulyatornyy-1-led/" TargetMode="External"/><Relationship Id="rId_hyperlink_5852" Type="http://schemas.openxmlformats.org/officeDocument/2006/relationships/hyperlink" Target="https://optovikufa.ru/product/238968/fonar-ruchnoy-akkum-ly-826-15-led-1-rezhraboty-s-vilkoy/" TargetMode="External"/><Relationship Id="rId_hyperlink_5853" Type="http://schemas.openxmlformats.org/officeDocument/2006/relationships/hyperlink" Target="https://optovikufa.ru/product/238105/fonar-ruchnoy-akkum-ly-827-4-led-1-rezhraboty-s-vilkoy/" TargetMode="External"/><Relationship Id="rId_hyperlink_5854" Type="http://schemas.openxmlformats.org/officeDocument/2006/relationships/hyperlink" Target="https://optovikufa.ru/product/240958/fonar-svetodiodnyy-dream-g18/" TargetMode="External"/><Relationship Id="rId_hyperlink_5855" Type="http://schemas.openxmlformats.org/officeDocument/2006/relationships/hyperlink" Target="https://optovikufa.ru/product/240959/fonar-svetodiodnyy-dream-k-528-chernyy/" TargetMode="External"/><Relationship Id="rId_hyperlink_5856" Type="http://schemas.openxmlformats.org/officeDocument/2006/relationships/hyperlink" Target="https://optovikufa.ru/product/226146/fonar-svetodiodnyy-akkumul-sputnik-af201-4led/" TargetMode="External"/><Relationship Id="rId_hyperlink_5857" Type="http://schemas.openxmlformats.org/officeDocument/2006/relationships/hyperlink" Target="https://optovikufa.ru/product/238857/fonar-svetodiodnyy-akkumul-sputnik-af202/" TargetMode="External"/><Relationship Id="rId_hyperlink_5858" Type="http://schemas.openxmlformats.org/officeDocument/2006/relationships/hyperlink" Target="https://optovikufa.ru/product/226148/fonar-svetodiodnyy-akkumul-sputnik-af207/" TargetMode="External"/><Relationship Id="rId_hyperlink_5859" Type="http://schemas.openxmlformats.org/officeDocument/2006/relationships/hyperlink" Target="https://optovikufa.ru/product/226150/fonar-svetodiodnyy-akkumul-sputnik-af630/" TargetMode="External"/><Relationship Id="rId_hyperlink_5860" Type="http://schemas.openxmlformats.org/officeDocument/2006/relationships/hyperlink" Target="https://optovikufa.ru/product/242286/fonar-svetodiodnyy-akkumul-sputnik-afp816-3w/" TargetMode="External"/><Relationship Id="rId_hyperlink_5861" Type="http://schemas.openxmlformats.org/officeDocument/2006/relationships/hyperlink" Target="https://optovikufa.ru/product/242287/fonar-svetodiodnyy-akkumul-sputnik-afp823-3w/" TargetMode="External"/><Relationship Id="rId_hyperlink_5862" Type="http://schemas.openxmlformats.org/officeDocument/2006/relationships/hyperlink" Target="https://optovikufa.ru/product/238854/fonar-svetodiodnyy-akkumul-sputnik-afp829-10w/" TargetMode="External"/><Relationship Id="rId_hyperlink_5863" Type="http://schemas.openxmlformats.org/officeDocument/2006/relationships/hyperlink" Target="https://optovikufa.ru/product/232770/fonar-svetodiodnyy-akkumul-sputnik-afp953/" TargetMode="External"/><Relationship Id="rId_hyperlink_5864" Type="http://schemas.openxmlformats.org/officeDocument/2006/relationships/hyperlink" Target="https://optovikufa.ru/product/125174/fonar-svetodiodnyy-akkumulyatornyy-smartbuy-sbf-44-b-5-led-s-pryamoy-zaryadkoy-smartbuy-chernyy/" TargetMode="External"/><Relationship Id="rId_hyperlink_5865" Type="http://schemas.openxmlformats.org/officeDocument/2006/relationships/hyperlink" Target="https://optovikufa.ru/product/126941/fonar-svetodiodnyy-akkumulyatornyy-smartbuy-sbf-84-y-4led-s-pryamoy-zaryadkoy-zheltye/" TargetMode="External"/><Relationship Id="rId_hyperlink_5866" Type="http://schemas.openxmlformats.org/officeDocument/2006/relationships/hyperlink" Target="https://optovikufa.ru/product/126940/fonar-svetodiodnyy-akkumulyatornyy-smartbuy-sbf-85-y-15led-s-pryamoy-zaryadkoy-zheltye/" TargetMode="External"/><Relationship Id="rId_hyperlink_5867" Type="http://schemas.openxmlformats.org/officeDocument/2006/relationships/hyperlink" Target="https://optovikufa.ru/product/126944/fonar-svetodiodnyy-akkumulyatornyy-smartbuy-sbf-86-y-7led-s-pryamoy-zaryadkoy-zheltyy/" TargetMode="External"/><Relationship Id="rId_hyperlink_5868" Type="http://schemas.openxmlformats.org/officeDocument/2006/relationships/hyperlink" Target="https://optovikufa.ru/product/126943/fonar-svetodiodnyy-akkumulyatornyy-smartbuy-sbf-87-y-46led-s-pryamoy-zaryadkoy-zheltyy/" TargetMode="External"/><Relationship Id="rId_hyperlink_5869" Type="http://schemas.openxmlformats.org/officeDocument/2006/relationships/hyperlink" Target="https://optovikufa.ru/product/126946/fonar-svetodiodnyy-akkumulyatornyy-smartbuy-sbf-88-y-78led-s-pryamoy-zaryadkoy-zheltyy/" TargetMode="External"/><Relationship Id="rId_hyperlink_5870" Type="http://schemas.openxmlformats.org/officeDocument/2006/relationships/hyperlink" Target="https://optovikufa.ru/product/148254/fonar-svetodiodnyy-akkumulyatornyy-smartbuy-sbf-89-y-1510led-s-pryamoy-zaryadkoy-zheltye/" TargetMode="External"/><Relationship Id="rId_hyperlink_5871" Type="http://schemas.openxmlformats.org/officeDocument/2006/relationships/hyperlink" Target="https://optovikufa.ru/product/126942/fonar-svetodiodnyy-akkumulyatornyy-smartbuy-sbf-93-r-4led-s-pryamoy-zaryadkoy-krasnyy/" TargetMode="External"/><Relationship Id="rId_hyperlink_5872" Type="http://schemas.openxmlformats.org/officeDocument/2006/relationships/hyperlink" Target="https://optovikufa.ru/product/126945/fonar-svetodiodnyy-akkumulyatornyy-smartbuy-sbf-95-r-7led-s-pryamoy-zaryadkoy-krasnyy/" TargetMode="External"/><Relationship Id="rId_hyperlink_5873" Type="http://schemas.openxmlformats.org/officeDocument/2006/relationships/hyperlink" Target="https://optovikufa.ru/product/148255/fonar-svetodiodnyy-akkumulyatornyy-smartbuy-sbf-99-b-5led-s-pryamoy-zaryadkoy-siniy/" TargetMode="External"/><Relationship Id="rId_hyperlink_5874" Type="http://schemas.openxmlformats.org/officeDocument/2006/relationships/hyperlink" Target="https://optovikufa.ru/product/232769/fonar-svetodiodnyy-akkumulyatornyy-sputnik-af600/" TargetMode="External"/><Relationship Id="rId_hyperlink_5875" Type="http://schemas.openxmlformats.org/officeDocument/2006/relationships/hyperlink" Target="https://optovikufa.ru/product/123647/svetodiodnyy-alyuminievyy-fonar-smartbuy-1vt-2aa-chernyy-sbf-600-k/" TargetMode="External"/><Relationship Id="rId_hyperlink_5876" Type="http://schemas.openxmlformats.org/officeDocument/2006/relationships/hyperlink" Target="https://optovikufa.ru/product/223359/svetodiodnyy-alyuminievyy-fonar-smartbuy-3vt-led3vt-cob-aa-sbf-104/" TargetMode="External"/><Relationship Id="rId_hyperlink_5877" Type="http://schemas.openxmlformats.org/officeDocument/2006/relationships/hyperlink" Target="https://optovikufa.ru/product/177006/fonarik-sledopyt-8510-1-lam/" TargetMode="External"/><Relationship Id="rId_hyperlink_5878" Type="http://schemas.openxmlformats.org/officeDocument/2006/relationships/hyperlink" Target="https://optovikufa.ru/product/241553/fonar-jf-003-chernyy-dream/" TargetMode="External"/><Relationship Id="rId_hyperlink_5879" Type="http://schemas.openxmlformats.org/officeDocument/2006/relationships/hyperlink" Target="https://optovikufa.ru/product/234473/fonar-ruchnoy-garin-lux-pm3-3w/" TargetMode="External"/><Relationship Id="rId_hyperlink_5880" Type="http://schemas.openxmlformats.org/officeDocument/2006/relationships/hyperlink" Target="https://optovikufa.ru/product/228894/fonar-ruchnoy-led-zj-108/" TargetMode="External"/><Relationship Id="rId_hyperlink_5881" Type="http://schemas.openxmlformats.org/officeDocument/2006/relationships/hyperlink" Target="https://optovikufa.ru/product/238731/fonar-ruchnoy-mini-801b-9led-3aaa/" TargetMode="External"/><Relationship Id="rId_hyperlink_5882" Type="http://schemas.openxmlformats.org/officeDocument/2006/relationships/hyperlink" Target="https://optovikufa.ru/product/227798/fonar-ruchnoy-patriot-pt-flr23-2l-akkum/" TargetMode="External"/><Relationship Id="rId_hyperlink_5883" Type="http://schemas.openxmlformats.org/officeDocument/2006/relationships/hyperlink" Target="https://optovikufa.ru/product/233851/fonar-ruchnoy-svetodiodnyy-9-led-smartbuy-sbf-103-b/" TargetMode="External"/><Relationship Id="rId_hyperlink_5884" Type="http://schemas.openxmlformats.org/officeDocument/2006/relationships/hyperlink" Target="https://optovikufa.ru/product/238729/fonar-ruchnoy-teleskopicheskiy-s-magnitom-98208/" TargetMode="External"/><Relationship Id="rId_hyperlink_5885" Type="http://schemas.openxmlformats.org/officeDocument/2006/relationships/hyperlink" Target="https://optovikufa.ru/product/239538/antenna-teleskopicheskaya-d-5mm-s5-110-380mm-ast-18/" TargetMode="External"/><Relationship Id="rId_hyperlink_5886" Type="http://schemas.openxmlformats.org/officeDocument/2006/relationships/hyperlink" Target="https://optovikufa.ru/product/242762/antenna-teleskopicheskaya-d-5mm-s5-67-230mm-ast-2/" TargetMode="External"/><Relationship Id="rId_hyperlink_5887" Type="http://schemas.openxmlformats.org/officeDocument/2006/relationships/hyperlink" Target="https://optovikufa.ru/product/239536/antenna-teleskopicheskaya-d-6mm-s3-190-420mm-ast-23/" TargetMode="External"/><Relationship Id="rId_hyperlink_5888" Type="http://schemas.openxmlformats.org/officeDocument/2006/relationships/hyperlink" Target="https://optovikufa.ru/product/242761/antenna-teleskopicheskaya-d-6mm-s4-170-485mm-ast-15/" TargetMode="External"/><Relationship Id="rId_hyperlink_5889" Type="http://schemas.openxmlformats.org/officeDocument/2006/relationships/hyperlink" Target="https://optovikufa.ru/product/242763/antenna-teleskopicheskaya-d-6mm-s5-110-320mm-ast-28/" TargetMode="External"/><Relationship Id="rId_hyperlink_5890" Type="http://schemas.openxmlformats.org/officeDocument/2006/relationships/hyperlink" Target="https://optovikufa.ru/product/242764/antenna-teleskopicheskaya-d-6mm-s6-100-480mm-ast-3/" TargetMode="External"/><Relationship Id="rId_hyperlink_5891" Type="http://schemas.openxmlformats.org/officeDocument/2006/relationships/hyperlink" Target="https://optovikufa.ru/product/242760/antenna-teleskopicheskaya-d-7mm-s5-200-860mm-ast-13/" TargetMode="External"/><Relationship Id="rId_hyperlink_5892" Type="http://schemas.openxmlformats.org/officeDocument/2006/relationships/hyperlink" Target="https://optovikufa.ru/product/242194/antenna-teleskopicheskaya-d-7mm-s7-100-400mm-ast-7/" TargetMode="External"/><Relationship Id="rId_hyperlink_5893" Type="http://schemas.openxmlformats.org/officeDocument/2006/relationships/hyperlink" Target="https://optovikufa.ru/product/241333/antenna-teleskopicheskaya-d-7mm-s7-150-650mm-ast-24/" TargetMode="External"/><Relationship Id="rId_hyperlink_5894" Type="http://schemas.openxmlformats.org/officeDocument/2006/relationships/hyperlink" Target="https://optovikufa.ru/product/239273/kassety-nabornye-dlya-sborki-akkumulyatornyh-batarey-18650-1-yacheyka/" TargetMode="External"/><Relationship Id="rId_hyperlink_5895" Type="http://schemas.openxmlformats.org/officeDocument/2006/relationships/hyperlink" Target="https://optovikufa.ru/product/239275/kassety-nabornye-dlya-sborki-akkumulyatornyh-batarey-18650-3-yacheyki/" TargetMode="External"/><Relationship Id="rId_hyperlink_5896" Type="http://schemas.openxmlformats.org/officeDocument/2006/relationships/hyperlink" Target="https://optovikufa.ru/product/232604/otsek-dlya-akkumulyatorov-26650-1s1p-p-s-pinami-et/" TargetMode="External"/><Relationship Id="rId_hyperlink_5897" Type="http://schemas.openxmlformats.org/officeDocument/2006/relationships/hyperlink" Target="https://optovikufa.ru/product/240079/futlyar-dlya-akkumulyatorov-18650h2-robiton-b2/" TargetMode="External"/><Relationship Id="rId_hyperlink_5898" Type="http://schemas.openxmlformats.org/officeDocument/2006/relationships/hyperlink" Target="https://optovikufa.ru/product/241335/otsek-dlya-batareek-aah3aah3-c-provodami/" TargetMode="External"/><Relationship Id="rId_hyperlink_5899" Type="http://schemas.openxmlformats.org/officeDocument/2006/relationships/hyperlink" Target="https://optovikufa.ru/product/237456/otsek-dlya-batareek-aa-1s1p-p-s-pinami-et/" TargetMode="External"/><Relationship Id="rId_hyperlink_5900" Type="http://schemas.openxmlformats.org/officeDocument/2006/relationships/hyperlink" Target="https://optovikufa.ru/product/237458/otsek-dlya-batareek-aa-4s1p-l2-w-c-provodami-et/" TargetMode="External"/><Relationship Id="rId_hyperlink_5901" Type="http://schemas.openxmlformats.org/officeDocument/2006/relationships/hyperlink" Target="https://optovikufa.ru/product/232404/otsek-dlya-batareek-aaa-3s1p-w-c-provodami-et/" TargetMode="External"/><Relationship Id="rId_hyperlink_5902" Type="http://schemas.openxmlformats.org/officeDocument/2006/relationships/hyperlink" Target="https://optovikufa.ru/product/184189/otsek-dlya-batareek-aaah1-bh411bh624/" TargetMode="External"/><Relationship Id="rId_hyperlink_5903" Type="http://schemas.openxmlformats.org/officeDocument/2006/relationships/hyperlink" Target="https://optovikufa.ru/product/136177/otsek-dlya-batareek-aaah3-s-provodami-bh431/" TargetMode="External"/><Relationship Id="rId_hyperlink_5904" Type="http://schemas.openxmlformats.org/officeDocument/2006/relationships/hyperlink" Target="https://optovikufa.ru/product/232405/otsek-dlya-batareek-aaah4-c-provodami/" TargetMode="External"/><Relationship Id="rId_hyperlink_5905" Type="http://schemas.openxmlformats.org/officeDocument/2006/relationships/hyperlink" Target="https://optovikufa.ru/product/136178/otsek-dlya-batareek-aaah4-s-provodami/" TargetMode="External"/><Relationship Id="rId_hyperlink_5906" Type="http://schemas.openxmlformats.org/officeDocument/2006/relationships/hyperlink" Target="https://optovikufa.ru/product/232010/otsek-dlya-batareek-aah1s1p-w-s-provodami-/" TargetMode="External"/><Relationship Id="rId_hyperlink_5907" Type="http://schemas.openxmlformats.org/officeDocument/2006/relationships/hyperlink" Target="https://optovikufa.ru/product/184186/otsek-dlya-batareek-aah2-s-provodami/" TargetMode="External"/><Relationship Id="rId_hyperlink_5908" Type="http://schemas.openxmlformats.org/officeDocument/2006/relationships/hyperlink" Target="https://optovikufa.ru/product/232399/otsek-dlya-batareek-aah2s1p-w-c-provodami-/" TargetMode="External"/><Relationship Id="rId_hyperlink_5909" Type="http://schemas.openxmlformats.org/officeDocument/2006/relationships/hyperlink" Target="https://optovikufa.ru/product/237457/otsek-dlya-batareek-aah3s1p-w-c-provodami/" TargetMode="External"/><Relationship Id="rId_hyperlink_5910" Type="http://schemas.openxmlformats.org/officeDocument/2006/relationships/hyperlink" Target="https://optovikufa.ru/product/239530/otsek-dlya-batareek-aah4-s-provodami/" TargetMode="External"/><Relationship Id="rId_hyperlink_5911" Type="http://schemas.openxmlformats.org/officeDocument/2006/relationships/hyperlink" Target="https://optovikufa.ru/product/178322/otsek-dlya-batareek-zakrytyy-aaah2-vyklyuchatel-c-provodami-2s1p-bws-et/" TargetMode="External"/><Relationship Id="rId_hyperlink_5912" Type="http://schemas.openxmlformats.org/officeDocument/2006/relationships/hyperlink" Target="https://optovikufa.ru/product/184188/otsek-dlya-batareek-zakrytyy-aah2-vyklyuchatel-c-provodami/" TargetMode="External"/><Relationship Id="rId_hyperlink_5913" Type="http://schemas.openxmlformats.org/officeDocument/2006/relationships/hyperlink" Target="https://optovikufa.ru/product/184198/otsek-dlya-batareek-zakrytyy-aah3-vyklyuchatel-c-provodami/" TargetMode="External"/><Relationship Id="rId_hyperlink_5914" Type="http://schemas.openxmlformats.org/officeDocument/2006/relationships/hyperlink" Target="https://optovikufa.ru/product/178321/otsek-dlya-batareek-zakrytyy-aah3-vyklyuchatel-c-provodami/" TargetMode="External"/><Relationship Id="rId_hyperlink_5915" Type="http://schemas.openxmlformats.org/officeDocument/2006/relationships/hyperlink" Target="https://optovikufa.ru/product/238150/otsek-dlya-batareek-zakrytyy-aah4-vyklyuchatel-c-provodami-bh341/" TargetMode="External"/><Relationship Id="rId_hyperlink_5916" Type="http://schemas.openxmlformats.org/officeDocument/2006/relationships/hyperlink" Target="https://optovikufa.ru/product/241336/otsek-dlya-batareek-zakrytyy-aah4-vyklyuchatel-c-provodami-bh640-53636/" TargetMode="External"/><Relationship Id="rId_hyperlink_5917" Type="http://schemas.openxmlformats.org/officeDocument/2006/relationships/hyperlink" Target="https://optovikufa.ru/product/127501/otsek-dlya-batareek-kruglyy-aaah3-zh215/" TargetMode="External"/><Relationship Id="rId_hyperlink_5918" Type="http://schemas.openxmlformats.org/officeDocument/2006/relationships/hyperlink" Target="https://optovikufa.ru/product/242759/otsek-dlya-batareek-kruglyy-aaah3-zh215-1/" TargetMode="External"/><Relationship Id="rId_hyperlink_5919" Type="http://schemas.openxmlformats.org/officeDocument/2006/relationships/hyperlink" Target="https://optovikufa.ru/product/241623/otsek-dlya-batareek-kruglyy-aah3-zh215/" TargetMode="External"/><Relationship Id="rId_hyperlink_5920" Type="http://schemas.openxmlformats.org/officeDocument/2006/relationships/hyperlink" Target="https://optovikufa.ru/product/241624/otsek-dlya-batareek-kruglyy-aah3-zh215-1/" TargetMode="External"/><Relationship Id="rId_hyperlink_5921" Type="http://schemas.openxmlformats.org/officeDocument/2006/relationships/hyperlink" Target="https://optovikufa.ru/product/238135/otsek-dlya-batareek-s-kryshkoy-aaah2-70x35x14-vyklyuchatel-belyy/" TargetMode="External"/><Relationship Id="rId_hyperlink_5922" Type="http://schemas.openxmlformats.org/officeDocument/2006/relationships/hyperlink" Target="https://optovikufa.ru/product/238133/otsek-dlya-batareek-s-kryshkoy-aah2-84x44x18-vyklyuchatel-belyy/" TargetMode="External"/><Relationship Id="rId_hyperlink_5923" Type="http://schemas.openxmlformats.org/officeDocument/2006/relationships/hyperlink" Target="https://optovikufa.ru/product/238134/otsek-dlya-batareek-s-kryshkoy-aah4-92x78x18-vyklyuchatel-belyy/" TargetMode="External"/><Relationship Id="rId_hyperlink_5924" Type="http://schemas.openxmlformats.org/officeDocument/2006/relationships/hyperlink" Target="https://optovikufa.ru/product/127500/otsek-dlya-batareek-s-kryshkoy-aah2-75x44x18-chernyy/" TargetMode="External"/><Relationship Id="rId_hyperlink_5925" Type="http://schemas.openxmlformats.org/officeDocument/2006/relationships/hyperlink" Target="https://optovikufa.ru/product/184194/otsek-dlya-batareek-6f22-krona-plastikovyy-korpus-s-provodami/" TargetMode="External"/><Relationship Id="rId_hyperlink_5926" Type="http://schemas.openxmlformats.org/officeDocument/2006/relationships/hyperlink" Target="https://optovikufa.ru/product/127480/razem-krona-tip-t-plastik/" TargetMode="External"/><Relationship Id="rId_hyperlink_5927" Type="http://schemas.openxmlformats.org/officeDocument/2006/relationships/hyperlink" Target="https://optovikufa.ru/product/127413/razem-krona-tip-t-provod-100mm-5/" TargetMode="External"/><Relationship Id="rId_hyperlink_5928" Type="http://schemas.openxmlformats.org/officeDocument/2006/relationships/hyperlink" Target="https://optovikufa.ru/product/232293/ventilyator-120h120h38-220v-ac-qa-12038-hsl/" TargetMode="External"/><Relationship Id="rId_hyperlink_5929" Type="http://schemas.openxmlformats.org/officeDocument/2006/relationships/hyperlink" Target="https://optovikufa.ru/product/175323/ventilyator-25x25x10-12v-dc-009a-podshipnik-skolzheniya-rqd-2510ms-12vdc/" TargetMode="External"/><Relationship Id="rId_hyperlink_5930" Type="http://schemas.openxmlformats.org/officeDocument/2006/relationships/hyperlink" Target="https://optovikufa.ru/product/177923/ventilyator-25x25x10-5v-dc-podshipnik-skolzheniya-rqd-2510ms-5vdc/" TargetMode="External"/><Relationship Id="rId_hyperlink_5931" Type="http://schemas.openxmlformats.org/officeDocument/2006/relationships/hyperlink" Target="https://optovikufa.ru/product/238774/ventilyator-35x35x10-12v-dc-015a-razem-2pin-gnezdo-254mm-rqd-3510ms-ulitka/" TargetMode="External"/><Relationship Id="rId_hyperlink_5932" Type="http://schemas.openxmlformats.org/officeDocument/2006/relationships/hyperlink" Target="https://optovikufa.ru/product/175315/ventilyator-40x40x10-12v-dc-008a-podshipnik-skolzheniya-rqd-4010ms-12vdc/" TargetMode="External"/><Relationship Id="rId_hyperlink_5933" Type="http://schemas.openxmlformats.org/officeDocument/2006/relationships/hyperlink" Target="https://optovikufa.ru/product/238789/ventilyator-40x40x10-12v-dc-008a-podshipnik-skolzheniya-rqu-4010ms-12vdc-ulitka/" TargetMode="External"/><Relationship Id="rId_hyperlink_5934" Type="http://schemas.openxmlformats.org/officeDocument/2006/relationships/hyperlink" Target="https://optovikufa.ru/product/240782/ventilyator-40x40x10-12v-dc-razem-2pin-gnezdo-254mm/" TargetMode="External"/><Relationship Id="rId_hyperlink_5935" Type="http://schemas.openxmlformats.org/officeDocument/2006/relationships/hyperlink" Target="https://optovikufa.ru/product/175318/ventilyator-40x40x10-24v-dc-008a-podshipnik-skolzheniya-rqd-4010ms-24vdc/" TargetMode="External"/><Relationship Id="rId_hyperlink_5936" Type="http://schemas.openxmlformats.org/officeDocument/2006/relationships/hyperlink" Target="https://optovikufa.ru/product/240783/ventilyator-40x40x10-24v-dc-razem-2pin-gnezdo-254mm/" TargetMode="External"/><Relationship Id="rId_hyperlink_5937" Type="http://schemas.openxmlformats.org/officeDocument/2006/relationships/hyperlink" Target="https://optovikufa.ru/product/233224/ventilyator-40x40x10-5v-dc-011a-podshipnik-skolzheniya-rqd-4010ms-5vdc/" TargetMode="External"/><Relationship Id="rId_hyperlink_5938" Type="http://schemas.openxmlformats.org/officeDocument/2006/relationships/hyperlink" Target="https://optovikufa.ru/product/239373/ventilyator-40x40x10-5v-dc-011a-podshipnik-skolzheniya-rqu-4010ms-5vdc-ulitka/" TargetMode="External"/><Relationship Id="rId_hyperlink_5939" Type="http://schemas.openxmlformats.org/officeDocument/2006/relationships/hyperlink" Target="https://optovikufa.ru/product/240786/ventilyator-40x40x10-5v-dc-pitanie-razem-usb/" TargetMode="External"/><Relationship Id="rId_hyperlink_5940" Type="http://schemas.openxmlformats.org/officeDocument/2006/relationships/hyperlink" Target="https://optovikufa.ru/product/240781/ventilyator-40x40x10-5v-dc-razem-2pin-gnezdo-254mm/" TargetMode="External"/><Relationship Id="rId_hyperlink_5941" Type="http://schemas.openxmlformats.org/officeDocument/2006/relationships/hyperlink" Target="https://optovikufa.ru/product/238441/ventilyator-40x40x20-12v-dc-008a-podshipnik-skolzheniya-rqu-4020ms-12vdc-ulitka/" TargetMode="External"/><Relationship Id="rId_hyperlink_5942" Type="http://schemas.openxmlformats.org/officeDocument/2006/relationships/hyperlink" Target="https://optovikufa.ru/product/175320/ventilyator-50x50x10-12v-dc-007a-podshipnik-skolzheniya-rqd-5010ms-12vdc/" TargetMode="External"/><Relationship Id="rId_hyperlink_5943" Type="http://schemas.openxmlformats.org/officeDocument/2006/relationships/hyperlink" Target="https://optovikufa.ru/product/238444/ventilyator-50x50x10-12v-dc-007a-podshipnik-skolzheniya-rqu-5010hs-12vdc-ulitka/" TargetMode="External"/><Relationship Id="rId_hyperlink_5944" Type="http://schemas.openxmlformats.org/officeDocument/2006/relationships/hyperlink" Target="https://optovikufa.ru/product/238781/ventilyator-50x50x10-24v-dc-podshipnik-skolzheniya-rqd-5010ms-24vdc-ulitka/" TargetMode="External"/><Relationship Id="rId_hyperlink_5945" Type="http://schemas.openxmlformats.org/officeDocument/2006/relationships/hyperlink" Target="https://optovikufa.ru/product/175319/ventilyator-50x50x15-12v-dc-podshipnik-skolzheniya-rqd-5015ms-015a-12vdc/" TargetMode="External"/><Relationship Id="rId_hyperlink_5946" Type="http://schemas.openxmlformats.org/officeDocument/2006/relationships/hyperlink" Target="https://optovikufa.ru/product/239236/ventilyator-50x50x15-5v-dc-podshipnik-skolzheniya-rqd-5015ms-025a-5vdc/" TargetMode="External"/><Relationship Id="rId_hyperlink_5947" Type="http://schemas.openxmlformats.org/officeDocument/2006/relationships/hyperlink" Target="https://optovikufa.ru/product/237685/ventilyator-50x50x15-5v-dc-podshipnik-skolzheniya-rqd-5015ms-5vdc-ulitka/" TargetMode="External"/><Relationship Id="rId_hyperlink_5948" Type="http://schemas.openxmlformats.org/officeDocument/2006/relationships/hyperlink" Target="https://optovikufa.ru/product/175313/ventilyator-60x60x10-12v-dc-podshipnik-skolzheniya-rqd-6010ms-12vdc/" TargetMode="External"/><Relationship Id="rId_hyperlink_5949" Type="http://schemas.openxmlformats.org/officeDocument/2006/relationships/hyperlink" Target="https://optovikufa.ru/product/235554/ventilyator-60x60x10-5v-dc-podshipnik-skolzheniya-rqd-6010ms-5vdc/" TargetMode="External"/><Relationship Id="rId_hyperlink_5950" Type="http://schemas.openxmlformats.org/officeDocument/2006/relationships/hyperlink" Target="https://optovikufa.ru/product/175310/ventilyator-60x60x20-12v-dc-013a-podshipnik-skolzheniya-rqd-6020ms-12vdc/" TargetMode="External"/><Relationship Id="rId_hyperlink_5951" Type="http://schemas.openxmlformats.org/officeDocument/2006/relationships/hyperlink" Target="https://optovikufa.ru/product/175322/ventilyator-60x60x25-12v-dc-014a-podshipnik-skolzheniya-rqd-6025ms-12vdc/" TargetMode="External"/><Relationship Id="rId_hyperlink_5952" Type="http://schemas.openxmlformats.org/officeDocument/2006/relationships/hyperlink" Target="https://optovikufa.ru/product/240787/ventilyator-60x60x25-5v-dc-pitanie-razem-usb/" TargetMode="External"/><Relationship Id="rId_hyperlink_5953" Type="http://schemas.openxmlformats.org/officeDocument/2006/relationships/hyperlink" Target="https://optovikufa.ru/product/233369/ventilyator-70x70x15-12v-dc-012a-podshipnik-skolzheniya-rqd-7015ms-12vdc/" TargetMode="External"/><Relationship Id="rId_hyperlink_5954" Type="http://schemas.openxmlformats.org/officeDocument/2006/relationships/hyperlink" Target="https://optovikufa.ru/product/233370/ventilyator-70x70x15-24v-dc-010a-podshipnik-skolzheniya-rqd-7015ms-24vdc/" TargetMode="External"/><Relationship Id="rId_hyperlink_5955" Type="http://schemas.openxmlformats.org/officeDocument/2006/relationships/hyperlink" Target="https://optovikufa.ru/product/233367/ventilyator-70x70x25-12v-dc-podshipnik-skolzheniya-rqd-7025ms-016a-12vdc/" TargetMode="External"/><Relationship Id="rId_hyperlink_5956" Type="http://schemas.openxmlformats.org/officeDocument/2006/relationships/hyperlink" Target="https://optovikufa.ru/product/241811/ventilyator-70x70x25-5v-dc-pitanie-razem-usb/" TargetMode="External"/><Relationship Id="rId_hyperlink_5957" Type="http://schemas.openxmlformats.org/officeDocument/2006/relationships/hyperlink" Target="https://optovikufa.ru/product/238775/ventilyator-75x75x30-24v-dc-007a-podshipnik-skolzheniya-rqu-7530ms-24vdc-ulitka/" TargetMode="External"/><Relationship Id="rId_hyperlink_5958" Type="http://schemas.openxmlformats.org/officeDocument/2006/relationships/hyperlink" Target="https://optovikufa.ru/product/239940/ventilyator-75x75x30-5v-dc-007a-podshipnik-skolzheniya-rqu-7530ms-5vdc-ulitka/" TargetMode="External"/><Relationship Id="rId_hyperlink_5959" Type="http://schemas.openxmlformats.org/officeDocument/2006/relationships/hyperlink" Target="https://optovikufa.ru/product/175304/ventilyator-80x80x25-12v-dc-014a-podshipnik-skolzheniya-rqd-8025ms-12vdc/" TargetMode="External"/><Relationship Id="rId_hyperlink_5960" Type="http://schemas.openxmlformats.org/officeDocument/2006/relationships/hyperlink" Target="https://optovikufa.ru/product/175300/ventilyator-80x80x25-12v-dc-018a-podshipnik-kacheniya-rqd-8025hs-12vdc/" TargetMode="External"/><Relationship Id="rId_hyperlink_5961" Type="http://schemas.openxmlformats.org/officeDocument/2006/relationships/hyperlink" Target="https://optovikufa.ru/product/175299/ventilyator-80x80x25-24v-dc-podshipnik-skolzheniya-rqd-8025ms-008a-24vdc/" TargetMode="External"/><Relationship Id="rId_hyperlink_5962" Type="http://schemas.openxmlformats.org/officeDocument/2006/relationships/hyperlink" Target="https://optovikufa.ru/product/241812/ventilyator-80x80x25-5v-dc-pitanie-razem-usb/" TargetMode="External"/><Relationship Id="rId_hyperlink_5963" Type="http://schemas.openxmlformats.org/officeDocument/2006/relationships/hyperlink" Target="https://optovikufa.ru/product/175297/ventilyator-92x92x25-12v-dc-020a-podshipnik-kacheniya-rqd-9225hs-12vdc/" TargetMode="External"/><Relationship Id="rId_hyperlink_5964" Type="http://schemas.openxmlformats.org/officeDocument/2006/relationships/hyperlink" Target="https://optovikufa.ru/product/240784/ventilyator-92x92x25-12v-dc-razem-2pin-gnezdo-254mm/" TargetMode="External"/><Relationship Id="rId_hyperlink_5965" Type="http://schemas.openxmlformats.org/officeDocument/2006/relationships/hyperlink" Target="https://optovikufa.ru/product/175298/ventilyator-92x92x25-24v-dc-podshipnik-skolzheniya-rqd-9225ms-24vdc/" TargetMode="External"/><Relationship Id="rId_hyperlink_5966" Type="http://schemas.openxmlformats.org/officeDocument/2006/relationships/hyperlink" Target="https://optovikufa.ru/product/240785/ventilyator-92x92x25-24v-dc-razem-2pin-gnezdo-254mm/" TargetMode="External"/><Relationship Id="rId_hyperlink_5967" Type="http://schemas.openxmlformats.org/officeDocument/2006/relationships/hyperlink" Target="https://optovikufa.ru/product/240788/ventilyator-92x92x25-5v-dc-pitanie-razem-usb/" TargetMode="External"/><Relationship Id="rId_hyperlink_5968" Type="http://schemas.openxmlformats.org/officeDocument/2006/relationships/hyperlink" Target="https://optovikufa.ru/product/232057/ventilyator-120x120x25-12v-dc-podshipnik-skolzheniya-rqd-12025ms-12vdc/" TargetMode="External"/><Relationship Id="rId_hyperlink_5969" Type="http://schemas.openxmlformats.org/officeDocument/2006/relationships/hyperlink" Target="https://optovikufa.ru/product/241809/ventilyator-120x120x25-5v-dc-pitanie-razem-usb/" TargetMode="External"/><Relationship Id="rId_hyperlink_5970" Type="http://schemas.openxmlformats.org/officeDocument/2006/relationships/hyperlink" Target="https://optovikufa.ru/product/169968/ventilyator-120h120h25-24v-dc-017a-podshipnik-skolzheniya-rqd-12025ms-24vdc/" TargetMode="External"/><Relationship Id="rId_hyperlink_5971" Type="http://schemas.openxmlformats.org/officeDocument/2006/relationships/hyperlink" Target="https://optovikufa.ru/product/241810/ventilyator-140x140x25-5v-dc-pitanie-razem-usb/" TargetMode="External"/><Relationship Id="rId_hyperlink_5972" Type="http://schemas.openxmlformats.org/officeDocument/2006/relationships/hyperlink" Target="https://optovikufa.ru/product/237692/reshetka-dlya-ventilyatora-92x92mm/" TargetMode="External"/><Relationship Id="rId_hyperlink_5973" Type="http://schemas.openxmlformats.org/officeDocument/2006/relationships/hyperlink" Target="https://optovikufa.ru/product/235149/golovka-elektrodinamicheskaya-dinamik-11h15mm-8om-1vt-s1587/" TargetMode="External"/><Relationship Id="rId_hyperlink_5974" Type="http://schemas.openxmlformats.org/officeDocument/2006/relationships/hyperlink" Target="https://optovikufa.ru/product/235145/golovka-elektrodinamicheskaya-dinamik-15h24mm-8om-08vt-s1388/" TargetMode="External"/><Relationship Id="rId_hyperlink_5975" Type="http://schemas.openxmlformats.org/officeDocument/2006/relationships/hyperlink" Target="https://optovikufa.ru/product/235146/golovka-elektrodinamicheskaya-dinamik-16mm-8om-08vt-s1396/" TargetMode="External"/><Relationship Id="rId_hyperlink_5976" Type="http://schemas.openxmlformats.org/officeDocument/2006/relationships/hyperlink" Target="https://optovikufa.ru/product/235147/golovka-elektrodinamicheskaya-dinamik-18mm-8om-08vt-s1398/" TargetMode="External"/><Relationship Id="rId_hyperlink_5977" Type="http://schemas.openxmlformats.org/officeDocument/2006/relationships/hyperlink" Target="https://optovikufa.ru/product/217043/vypryamitelnyy-diodnyy-most-kbu810-8a-1000v/" TargetMode="External"/><Relationship Id="rId_hyperlink_5978" Type="http://schemas.openxmlformats.org/officeDocument/2006/relationships/hyperlink" Target="https://optovikufa.ru/product/237931/diodnyy-most-kbpc3506-35a-600v-br350/" TargetMode="External"/><Relationship Id="rId_hyperlink_5979" Type="http://schemas.openxmlformats.org/officeDocument/2006/relationships/hyperlink" Target="https://optovikufa.ru/product/239753/most-diodnyy-gbu1510-15a-1000v/" TargetMode="External"/><Relationship Id="rId_hyperlink_5980" Type="http://schemas.openxmlformats.org/officeDocument/2006/relationships/hyperlink" Target="https://optovikufa.ru/product/241478/antivandalnyy-povorotnyy-pereklyuchatel-off-on-pod-klyuch-5/" TargetMode="External"/><Relationship Id="rId_hyperlink_5981" Type="http://schemas.openxmlformats.org/officeDocument/2006/relationships/hyperlink" Target="https://optovikufa.ru/product/145830/knopka-pbs-11a-krug-s-fiksaciey-zelenaya-12/" TargetMode="External"/><Relationship Id="rId_hyperlink_5982" Type="http://schemas.openxmlformats.org/officeDocument/2006/relationships/hyperlink" Target="https://optovikufa.ru/product/240288/klavishnyy-pereklyuchatel-kcd4-203n-c6-r6p-on-off-on-krasnyy/" TargetMode="External"/><Relationship Id="rId_hyperlink_5983" Type="http://schemas.openxmlformats.org/officeDocument/2006/relationships/hyperlink" Target="https://optovikufa.ru/product/234810/klavishnyy-pereklyuchatel-3-kont-xw-604ea1-boa6c-h21mm-zheltyy/" TargetMode="External"/><Relationship Id="rId_hyperlink_5984" Type="http://schemas.openxmlformats.org/officeDocument/2006/relationships/hyperlink" Target="https://optovikufa.ru/product/240008/klavishnyy-pereklyuchatel-3-kont-xw-604ea1-bra6c-h21mm-krasnyy/" TargetMode="External"/><Relationship Id="rId_hyperlink_5985" Type="http://schemas.openxmlformats.org/officeDocument/2006/relationships/hyperlink" Target="https://optovikufa.ru/product/235620/klavishnyy-pereklyuchatel-kcd1-101-5-c3-b2p-on-off-kruglyy-klavisha-chernogo-cveta/" TargetMode="External"/><Relationship Id="rId_hyperlink_5986" Type="http://schemas.openxmlformats.org/officeDocument/2006/relationships/hyperlink" Target="https://optovikufa.ru/product/235621/klavishnyy-pereklyuchatel-kcd1-101-5-c3-r2p-on-off-kruglyy-klavisha-krasnogo-cveta-5/" TargetMode="External"/><Relationship Id="rId_hyperlink_5987" Type="http://schemas.openxmlformats.org/officeDocument/2006/relationships/hyperlink" Target="https://optovikufa.ru/product/235622/klavishnyy-pereklyuchatel-kcd1-101-c1-b2p-on-off-pryamougolnyy-klavisha-chernogo-cveta/" TargetMode="External"/><Relationship Id="rId_hyperlink_5988" Type="http://schemas.openxmlformats.org/officeDocument/2006/relationships/hyperlink" Target="https://optovikufa.ru/product/235623/klavishnyy-pereklyuchatel-kcd1-101n-c3-r3p-on-off-pryamougolnyy-klavisha-krasnogo-cveta-s-podsvetkoy/" TargetMode="External"/><Relationship Id="rId_hyperlink_5989" Type="http://schemas.openxmlformats.org/officeDocument/2006/relationships/hyperlink" Target="https://optovikufa.ru/product/235624/klavishnyy-pereklyuchatel-kcd1-102-c3-b3p-on-on/" TargetMode="External"/><Relationship Id="rId_hyperlink_5990" Type="http://schemas.openxmlformats.org/officeDocument/2006/relationships/hyperlink" Target="https://optovikufa.ru/product/234807/klavishnyy-pereklyuchatel-kcd3-604ba1-bea6c-3pin-zelenyy/" TargetMode="External"/><Relationship Id="rId_hyperlink_5991" Type="http://schemas.openxmlformats.org/officeDocument/2006/relationships/hyperlink" Target="https://optovikufa.ru/product/234806/klavishnyy-pereklyuchatel-kcd3-604ba1-boa6c-3pin-zheltyy/" TargetMode="External"/><Relationship Id="rId_hyperlink_5992" Type="http://schemas.openxmlformats.org/officeDocument/2006/relationships/hyperlink" Target="https://optovikufa.ru/product/234805/klavishnyy-pereklyuchatel-kcd3-604ba1-bra6c-3pin-krasnyy/" TargetMode="External"/><Relationship Id="rId_hyperlink_5993" Type="http://schemas.openxmlformats.org/officeDocument/2006/relationships/hyperlink" Target="https://optovikufa.ru/product/234111/klavishnyy-pereklyuchatel-kcd3-604da1-bea6c-6pin-dvoynoy-zelenyy/" TargetMode="External"/><Relationship Id="rId_hyperlink_5994" Type="http://schemas.openxmlformats.org/officeDocument/2006/relationships/hyperlink" Target="https://optovikufa.ru/product/234110/klavishnyy-pereklyuchatel-kcd3-604da1-boa6c-6pin-dvoynoy-zheltyy/" TargetMode="External"/><Relationship Id="rId_hyperlink_5995" Type="http://schemas.openxmlformats.org/officeDocument/2006/relationships/hyperlink" Target="https://optovikufa.ru/product/234109/klavishnyy-pereklyuchatel-kcd3-604da1-bra6c-6pin-dvoynoy-krasnyy/" TargetMode="External"/><Relationship Id="rId_hyperlink_5996" Type="http://schemas.openxmlformats.org/officeDocument/2006/relationships/hyperlink" Target="https://optovikufa.ru/product/240287/klavishnyy-pereklyuchatel-kcd4-201n-c3-r4p-on-off-krasnyy/" TargetMode="External"/><Relationship Id="rId_hyperlink_5997" Type="http://schemas.openxmlformats.org/officeDocument/2006/relationships/hyperlink" Target="https://optovikufa.ru/product/239446/klavishnyy-pereklyuchatel-kcd4-604aa1-bea6c-4pin-shirokiy-zelenyy/" TargetMode="External"/><Relationship Id="rId_hyperlink_5998" Type="http://schemas.openxmlformats.org/officeDocument/2006/relationships/hyperlink" Target="https://optovikufa.ru/product/239445/klavishnyy-pereklyuchatel-kcd4-604aa1-boa6c-4pin-shirokiy-zheltyy/" TargetMode="External"/><Relationship Id="rId_hyperlink_5999" Type="http://schemas.openxmlformats.org/officeDocument/2006/relationships/hyperlink" Target="https://optovikufa.ru/product/234808/klavishnyy-pereklyuchatel-kcd4-604aa1-bra6c-4pin-shirokiy-krasnyy/" TargetMode="External"/><Relationship Id="rId_hyperlink_6000" Type="http://schemas.openxmlformats.org/officeDocument/2006/relationships/hyperlink" Target="https://optovikufa.ru/product/239447/klavishnyy-pereklyuchatel-kcd4-604aa1-bua6c-4pin-shirokiy-siniy/" TargetMode="External"/><Relationship Id="rId_hyperlink_6001" Type="http://schemas.openxmlformats.org/officeDocument/2006/relationships/hyperlink" Target="https://optovikufa.ru/product/237364/klavishnyy-pereklyuchatel-kcd4-604aa2-bea6c-6pin-zelenyy/" TargetMode="External"/><Relationship Id="rId_hyperlink_6002" Type="http://schemas.openxmlformats.org/officeDocument/2006/relationships/hyperlink" Target="https://optovikufa.ru/product/131125/klavishnyy-pereklyuchatel-kcd4-604aa2-bra6c-6pin-on-on-220v-zheltyy-sc-767/" TargetMode="External"/><Relationship Id="rId_hyperlink_6003" Type="http://schemas.openxmlformats.org/officeDocument/2006/relationships/hyperlink" Target="https://optovikufa.ru/product/237363/klavishnyy-pereklyuchatel-kcd4-604aa2-bra6c-6pin-krasnyy/" TargetMode="External"/><Relationship Id="rId_hyperlink_6004" Type="http://schemas.openxmlformats.org/officeDocument/2006/relationships/hyperlink" Target="https://optovikufa.ru/product/177243/klavishnyy-pereklyuchatel-sc-797-6pin-on-off-indikaciya-na-220v-dvoynoy-krasnyy-zelenyy/" TargetMode="External"/><Relationship Id="rId_hyperlink_6005" Type="http://schemas.openxmlformats.org/officeDocument/2006/relationships/hyperlink" Target="https://optovikufa.ru/product/175184/klavishnyy-pereklyuchatel-ksd1-603ab1-bba1c-2pin-on-of-chernyy-3/" TargetMode="External"/><Relationship Id="rId_hyperlink_6006" Type="http://schemas.openxmlformats.org/officeDocument/2006/relationships/hyperlink" Target="https://optovikufa.ru/product/175183/klavishnyy-pereklyuchatel-ksd1-603ab1-bra1c-2pin-on-of-cherno-krasnyy-3/" TargetMode="External"/><Relationship Id="rId_hyperlink_6007" Type="http://schemas.openxmlformats.org/officeDocument/2006/relationships/hyperlink" Target="https://optovikufa.ru/product/239862/knopka-taktovaya-smd-4h4h15-it-1187/" TargetMode="External"/><Relationship Id="rId_hyperlink_6008" Type="http://schemas.openxmlformats.org/officeDocument/2006/relationships/hyperlink" Target="https://optovikufa.ru/product/149356/knopka-taktovaya-smd-5h5h15-it-1187u/" TargetMode="External"/><Relationship Id="rId_hyperlink_6009" Type="http://schemas.openxmlformats.org/officeDocument/2006/relationships/hyperlink" Target="https://optovikufa.ru/product/159434/knopka-taktovaya-smd-6h3h25-it-1181a/" TargetMode="External"/><Relationship Id="rId_hyperlink_6010" Type="http://schemas.openxmlformats.org/officeDocument/2006/relationships/hyperlink" Target="https://optovikufa.ru/product/175201/knopka-taktovaya-smd-6h3h35mm-bokovaya-it-1188e/" TargetMode="External"/><Relationship Id="rId_hyperlink_6011" Type="http://schemas.openxmlformats.org/officeDocument/2006/relationships/hyperlink" Target="https://optovikufa.ru/product/239858/knopka-taktovaya-smd-6h6h43-it-1102w/" TargetMode="External"/><Relationship Id="rId_hyperlink_6012" Type="http://schemas.openxmlformats.org/officeDocument/2006/relationships/hyperlink" Target="https://optovikufa.ru/product/239860/knopka-taktovaya-smd-6h6h7-it-1102wb/" TargetMode="External"/><Relationship Id="rId_hyperlink_6013" Type="http://schemas.openxmlformats.org/officeDocument/2006/relationships/hyperlink" Target="https://optovikufa.ru/product/239861/knopka-taktovaya-smd-6h6h95-it-1102wd/" TargetMode="External"/><Relationship Id="rId_hyperlink_6014" Type="http://schemas.openxmlformats.org/officeDocument/2006/relationships/hyperlink" Target="https://optovikufa.ru/product/131134/tumbler-kn3a-101-2pin-on-off-3a-250v/" TargetMode="External"/><Relationship Id="rId_hyperlink_6015" Type="http://schemas.openxmlformats.org/officeDocument/2006/relationships/hyperlink" Target="https://optovikufa.ru/product/131139/tumbler-kn3c-203p-6pin-on-off-on-3a-250v/" TargetMode="External"/><Relationship Id="rId_hyperlink_6016" Type="http://schemas.openxmlformats.org/officeDocument/2006/relationships/hyperlink" Target="https://optovikufa.ru/product/239907/tumbler-mts-101-2pin-on-off/" TargetMode="External"/><Relationship Id="rId_hyperlink_6017" Type="http://schemas.openxmlformats.org/officeDocument/2006/relationships/hyperlink" Target="https://optovikufa.ru/product/140465/tumbler-mts-102-3pin-on-on/" TargetMode="External"/><Relationship Id="rId_hyperlink_6018" Type="http://schemas.openxmlformats.org/officeDocument/2006/relationships/hyperlink" Target="https://optovikufa.ru/product/177447/tumbler-mts-103-3pin-on-off-on/" TargetMode="External"/><Relationship Id="rId_hyperlink_6019" Type="http://schemas.openxmlformats.org/officeDocument/2006/relationships/hyperlink" Target="https://optovikufa.ru/product/239908/tumbler-smts-101-2pin-on-off/" TargetMode="External"/><Relationship Id="rId_hyperlink_6020" Type="http://schemas.openxmlformats.org/officeDocument/2006/relationships/hyperlink" Target="https://optovikufa.ru/product/143878/tumbler-smts-102-3pin-on-on/" TargetMode="External"/><Relationship Id="rId_hyperlink_6021" Type="http://schemas.openxmlformats.org/officeDocument/2006/relationships/hyperlink" Target="https://optovikufa.ru/product/241978/radiator-korpus-45h70h100mm-bla457-100/" TargetMode="External"/><Relationship Id="rId_hyperlink_6022" Type="http://schemas.openxmlformats.org/officeDocument/2006/relationships/hyperlink" Target="https://optovikufa.ru/product/241979/radiator-korpus-45h70h150mm-bla457-150/" TargetMode="External"/><Relationship Id="rId_hyperlink_6023" Type="http://schemas.openxmlformats.org/officeDocument/2006/relationships/hyperlink" Target="https://optovikufa.ru/product/242709/nozhki-pribornye-105x86x25mm-sf-007-4/" TargetMode="External"/><Relationship Id="rId_hyperlink_6024" Type="http://schemas.openxmlformats.org/officeDocument/2006/relationships/hyperlink" Target="https://optovikufa.ru/product/242708/nozhki-pribornye-127x7x6mm-sf-005-4/" TargetMode="External"/><Relationship Id="rId_hyperlink_6025" Type="http://schemas.openxmlformats.org/officeDocument/2006/relationships/hyperlink" Target="https://optovikufa.ru/product/242710/nozhki-pribornye-205x14x76mm-sf-006-4/" TargetMode="External"/><Relationship Id="rId_hyperlink_6026" Type="http://schemas.openxmlformats.org/officeDocument/2006/relationships/hyperlink" Target="https://optovikufa.ru/product/242707/nozhki-pribornye-protivoskolzyaschie-s200503-4/" TargetMode="External"/><Relationship Id="rId_hyperlink_6027" Type="http://schemas.openxmlformats.org/officeDocument/2006/relationships/hyperlink" Target="https://optovikufa.ru/product/238428/datchik-osveschennosti-reguliruemyy-fotorezistor-reguliruemyy-em-408/" TargetMode="External"/><Relationship Id="rId_hyperlink_6028" Type="http://schemas.openxmlformats.org/officeDocument/2006/relationships/hyperlink" Target="https://optovikufa.ru/product/232119/modul-dlya-arduino-ik-datchik-dvizheniya-hc-sr501-dc-5-20v-120-do-7m-b222-em-515/" TargetMode="External"/><Relationship Id="rId_hyperlink_6029" Type="http://schemas.openxmlformats.org/officeDocument/2006/relationships/hyperlink" Target="https://optovikufa.ru/product/239421/plata-upravleniya-shagovym-dvigatelem-v3192/" TargetMode="External"/><Relationship Id="rId_hyperlink_6030" Type="http://schemas.openxmlformats.org/officeDocument/2006/relationships/hyperlink" Target="https://optovikufa.ru/product/238611/kabel-dlya-arduino-uno-usb-20-am-bm-05m-ekranirovannyy-sinyaya-opletka/" TargetMode="External"/><Relationship Id="rId_hyperlink_6031" Type="http://schemas.openxmlformats.org/officeDocument/2006/relationships/hyperlink" Target="https://optovikufa.ru/product/238544/kontroller-arduino-nano-v30-atmega328p-ch340-microusb/" TargetMode="External"/><Relationship Id="rId_hyperlink_6032" Type="http://schemas.openxmlformats.org/officeDocument/2006/relationships/hyperlink" Target="https://optovikufa.ru/product/169749/kontroller-arduino-nano-v30-atmega328p-ch340-miniusb-s-kabelem-30sm/" TargetMode="External"/><Relationship Id="rId_hyperlink_6033" Type="http://schemas.openxmlformats.org/officeDocument/2006/relationships/hyperlink" Target="https://optovikufa.ru/product/237686/generator-impulsov-regulirovka-chastoty-upit-512v-ne555-em-169/" TargetMode="External"/><Relationship Id="rId_hyperlink_6034" Type="http://schemas.openxmlformats.org/officeDocument/2006/relationships/hyperlink" Target="https://optovikufa.ru/product/237687/generator-pryamougolnyh-impulsov-regulirovka-chastoty-i-skvazhnosti-upit-512v-ne555-em-405/" TargetMode="External"/><Relationship Id="rId_hyperlink_6035" Type="http://schemas.openxmlformats.org/officeDocument/2006/relationships/hyperlink" Target="https://optovikufa.ru/product/238337/generator-signala-1hz-150khz-33-30v-displey-xy-lpwm/" TargetMode="External"/><Relationship Id="rId_hyperlink_6036" Type="http://schemas.openxmlformats.org/officeDocument/2006/relationships/hyperlink" Target="https://optovikufa.ru/product/239241/modul-mosfet-klyucha-vyhodnogo-polevogo-tranzistora-mos-1a-irf520/" TargetMode="External"/><Relationship Id="rId_hyperlink_6037" Type="http://schemas.openxmlformats.org/officeDocument/2006/relationships/hyperlink" Target="https://optovikufa.ru/product/238336/modul-mosfet-klyucha-aod4184-5-36v-15a-400vt-kzy4807m/" TargetMode="External"/><Relationship Id="rId_hyperlink_6038" Type="http://schemas.openxmlformats.org/officeDocument/2006/relationships/hyperlink" Target="https://optovikufa.ru/product/236904/modul-mp3-bluetoothauxusbfm-5v-elma-035/" TargetMode="External"/><Relationship Id="rId_hyperlink_6039" Type="http://schemas.openxmlformats.org/officeDocument/2006/relationships/hyperlink" Target="https://optovikufa.ru/product/239935/indikator-emkosti-litievoy-batarei-dlya-sborok-12-60v-48x29x16mm-krasnye-cifry/" TargetMode="External"/><Relationship Id="rId_hyperlink_6040" Type="http://schemas.openxmlformats.org/officeDocument/2006/relationships/hyperlink" Target="https://optovikufa.ru/product/235016/indikator-emkosti-litievoy-batarei-dlya-sborok-1s-8s-sinee-svechenie-dl18s-blue/" TargetMode="External"/><Relationship Id="rId_hyperlink_6041" Type="http://schemas.openxmlformats.org/officeDocument/2006/relationships/hyperlink" Target="https://optovikufa.ru/product/237076/modul-bespereboynogo-pitaniya-dlya-akkumulyatora-18650/" TargetMode="External"/><Relationship Id="rId_hyperlink_6042" Type="http://schemas.openxmlformats.org/officeDocument/2006/relationships/hyperlink" Target="https://optovikufa.ru/product/235568/modul-zaryada-li-ion-akb-gnezdo-microusb-tp4056-povyshayuschiy-preobrazovatel-43-27v-5/" TargetMode="External"/><Relationship Id="rId_hyperlink_6043" Type="http://schemas.openxmlformats.org/officeDocument/2006/relationships/hyperlink" Target="https://optovikufa.ru/product/240807/modul-kontrolya-zaryadrazryad-bms-1s-mos-3-5a-li-ion/" TargetMode="External"/><Relationship Id="rId_hyperlink_6044" Type="http://schemas.openxmlformats.org/officeDocument/2006/relationships/hyperlink" Target="https://optovikufa.ru/product/240808/modul-kontrolya-zaryadrazryad-bms-1s-mos-4-75a-li-ion/" TargetMode="External"/><Relationship Id="rId_hyperlink_6045" Type="http://schemas.openxmlformats.org/officeDocument/2006/relationships/hyperlink" Target="https://optovikufa.ru/product/234143/modul-kontrolya-zaryadrazryad-bms-2s-4a-li-ion/" TargetMode="External"/><Relationship Id="rId_hyperlink_6046" Type="http://schemas.openxmlformats.org/officeDocument/2006/relationships/hyperlink" Target="https://optovikufa.ru/product/238340/modul-kontrolya-zaryadrazryad-bms-2s-5a-li-ion/" TargetMode="External"/><Relationship Id="rId_hyperlink_6047" Type="http://schemas.openxmlformats.org/officeDocument/2006/relationships/hyperlink" Target="https://optovikufa.ru/product/238505/modul-kontrolya-zaryadrazryad-bms-2s-8a-li-ion/" TargetMode="External"/><Relationship Id="rId_hyperlink_6048" Type="http://schemas.openxmlformats.org/officeDocument/2006/relationships/hyperlink" Target="https://optovikufa.ru/product/230927/modul-kontrolya-zaryadrazryad-bms-3s-40a-li-ion-balanced/" TargetMode="External"/><Relationship Id="rId_hyperlink_6049" Type="http://schemas.openxmlformats.org/officeDocument/2006/relationships/hyperlink" Target="https://optovikufa.ru/product/238471/modul-kontrolya-zaryadrazryad-bms-3s-8a-li-ion/" TargetMode="External"/><Relationship Id="rId_hyperlink_6050" Type="http://schemas.openxmlformats.org/officeDocument/2006/relationships/hyperlink" Target="https://optovikufa.ru/product/230928/modul-kontrolya-zaryadrazryad-bms-4s-40a-li-ion/" TargetMode="External"/><Relationship Id="rId_hyperlink_6051" Type="http://schemas.openxmlformats.org/officeDocument/2006/relationships/hyperlink" Target="https://optovikufa.ru/product/232015/modul-kontrolya-zaryadrazryad-bms-4s-40a-li-ion/" TargetMode="External"/><Relationship Id="rId_hyperlink_6052" Type="http://schemas.openxmlformats.org/officeDocument/2006/relationships/hyperlink" Target="https://optovikufa.ru/product/232012/modul-kontrolya-zaryadrazryad-bms-5s-4s-3s-100a-126-21v-balanced-li-ion/" TargetMode="External"/><Relationship Id="rId_hyperlink_6053" Type="http://schemas.openxmlformats.org/officeDocument/2006/relationships/hyperlink" Target="https://optovikufa.ru/product/239414/modul-bystroy-zaryadki-pd-power-delivery-type-s-12v-metallizirovannye-kontakty/" TargetMode="External"/><Relationship Id="rId_hyperlink_6054" Type="http://schemas.openxmlformats.org/officeDocument/2006/relationships/hyperlink" Target="https://optovikufa.ru/product/239415/modul-bystroy-zaryadki-pd-power-delivery-type-s-15v-metallizirovannye-kontakty/" TargetMode="External"/><Relationship Id="rId_hyperlink_6055" Type="http://schemas.openxmlformats.org/officeDocument/2006/relationships/hyperlink" Target="https://optovikufa.ru/product/239416/modul-bystroy-zaryadki-pd-power-delivery-type-s-20v-metallizirovannye-kontakty/" TargetMode="External"/><Relationship Id="rId_hyperlink_6056" Type="http://schemas.openxmlformats.org/officeDocument/2006/relationships/hyperlink" Target="https://optovikufa.ru/product/239420/modul-bystroy-zaryadki-pd-power-delivery-type-s-9v-metallizirovannye-kontakty/" TargetMode="External"/><Relationship Id="rId_hyperlink_6057" Type="http://schemas.openxmlformats.org/officeDocument/2006/relationships/hyperlink" Target="https://optovikufa.ru/product/242339/modul-galvanicheskoy-razvyazki-usb-usb-izolyator-adum3160/" TargetMode="External"/><Relationship Id="rId_hyperlink_6058" Type="http://schemas.openxmlformats.org/officeDocument/2006/relationships/hyperlink" Target="https://optovikufa.ru/product/237997/releynyy-modul-8-kanalov-upit-dc-12v-i-nagr-do-10a-optronovaya-galvonicheskaya-razvyazka/" TargetMode="External"/><Relationship Id="rId_hyperlink_6059" Type="http://schemas.openxmlformats.org/officeDocument/2006/relationships/hyperlink" Target="https://optovikufa.ru/product/237996/releynyy-modul-8-kanalov-upit-dc-5v-i-nagr-do-10a-optronovaya-galvonicheskaya-razvyazka/" TargetMode="External"/><Relationship Id="rId_hyperlink_6060" Type="http://schemas.openxmlformats.org/officeDocument/2006/relationships/hyperlink" Target="https://optovikufa.ru/product/240592/releynyy-modul-zaderzhki-vklyucheniya-pitaniya-12v/" TargetMode="External"/><Relationship Id="rId_hyperlink_6061" Type="http://schemas.openxmlformats.org/officeDocument/2006/relationships/hyperlink" Target="https://optovikufa.ru/product/240591/fotorele-modul-datchika-sveta-12v220v-10a-xh-m131/" TargetMode="External"/><Relationship Id="rId_hyperlink_6062" Type="http://schemas.openxmlformats.org/officeDocument/2006/relationships/hyperlink" Target="https://optovikufa.ru/product/240590/fotorele-modul-datchika-sveta-5v220v-10a-xh-m131/" TargetMode="External"/><Relationship Id="rId_hyperlink_6063" Type="http://schemas.openxmlformats.org/officeDocument/2006/relationships/hyperlink" Target="https://optovikufa.ru/product/182937/preobrazovatel-napryazh-dc-dc-povyshayuschiy-mikroshema-xl6009-regulirovka-napryazheniya-uvh3-32v-uvyh5-40v-4a/" TargetMode="External"/><Relationship Id="rId_hyperlink_6064" Type="http://schemas.openxmlformats.org/officeDocument/2006/relationships/hyperlink" Target="https://optovikufa.ru/product/232246/preobrazovatel-napryazh-dc-dc-povyshayuschiy-reguliruemyy-uvh10-32v-uvyh12-35v-6a-max/" TargetMode="External"/><Relationship Id="rId_hyperlink_6065" Type="http://schemas.openxmlformats.org/officeDocument/2006/relationships/hyperlink" Target="https://optovikufa.ru/product/127502/preobrazovatel-napryazh-dc-dc-ponizhayuschiy-mikroshema-lm-2596s-regulirovka-napryazheniya-uvh4-35v-uvyh15-30v-3a-max/" TargetMode="External"/><Relationship Id="rId_hyperlink_6066" Type="http://schemas.openxmlformats.org/officeDocument/2006/relationships/hyperlink" Target="https://optovikufa.ru/product/230925/preobrazovatel-napryazh-dc-dc-ponizhayuschiy-mikroshema-xl4015-regulirovka-napryazheniya-regulirovka-toka-uvh5-32v-uvyh08-30v-5amax/" TargetMode="External"/><Relationship Id="rId_hyperlink_6067" Type="http://schemas.openxmlformats.org/officeDocument/2006/relationships/hyperlink" Target="https://optovikufa.ru/product/240984/regulyator-moschnosti-ac-4000vt-uvh220v-uvyh10-220v-25a-bez-korpusa/" TargetMode="External"/><Relationship Id="rId_hyperlink_6068" Type="http://schemas.openxmlformats.org/officeDocument/2006/relationships/hyperlink" Target="https://optovikufa.ru/product/231994/regulyator-moschnosti-dc-uvh12-40v-10amax/" TargetMode="External"/><Relationship Id="rId_hyperlink_6069" Type="http://schemas.openxmlformats.org/officeDocument/2006/relationships/hyperlink" Target="https://optovikufa.ru/product/231993/regulyator-moschnosti-dc-uvh6-90v-10amax/" TargetMode="External"/><Relationship Id="rId_hyperlink_6070" Type="http://schemas.openxmlformats.org/officeDocument/2006/relationships/hyperlink" Target="https://optovikufa.ru/product/234378/regulyator-moschnosti-dc-uvh6-90v-10amax-em-712/" TargetMode="External"/><Relationship Id="rId_hyperlink_6071" Type="http://schemas.openxmlformats.org/officeDocument/2006/relationships/hyperlink" Target="https://optovikufa.ru/product/237991/regulyator-moschnosti-shim-kontroller-uvh6-90v-20a-max/" TargetMode="External"/><Relationship Id="rId_hyperlink_6072" Type="http://schemas.openxmlformats.org/officeDocument/2006/relationships/hyperlink" Target="https://optovikufa.ru/product/241649/regulyator-moschnosti-shim-kontroller-uvh6-90v-20a-max-vynosnoy-potenciometr-54015/" TargetMode="External"/><Relationship Id="rId_hyperlink_6073" Type="http://schemas.openxmlformats.org/officeDocument/2006/relationships/hyperlink" Target="https://optovikufa.ru/product/169751/datchik-temperatury-ds18b20-ot-55c-do-125c-vpit30-55-v/" TargetMode="External"/><Relationship Id="rId_hyperlink_6074" Type="http://schemas.openxmlformats.org/officeDocument/2006/relationships/hyperlink" Target="https://optovikufa.ru/product/229980/modul-bluetooth-priemnik-v41-upit37-5v-vyh-aux-xy-bt-mini-krasnyy/" TargetMode="External"/><Relationship Id="rId_hyperlink_6075" Type="http://schemas.openxmlformats.org/officeDocument/2006/relationships/hyperlink" Target="https://optovikufa.ru/product/237083/modul-bluetooth-priemnik-v41-upit37-5v-vyh-aux-xy-bt-mini-chernyy/" TargetMode="External"/><Relationship Id="rId_hyperlink_6076" Type="http://schemas.openxmlformats.org/officeDocument/2006/relationships/hyperlink" Target="https://optovikufa.ru/product/238506/modul-bluetooth-priemnik-v42-upit37-5v-vyh-aux-mh-mx28/" TargetMode="External"/><Relationship Id="rId_hyperlink_6077" Type="http://schemas.openxmlformats.org/officeDocument/2006/relationships/hyperlink" Target="https://optovikufa.ru/product/238447/modul-bluetooth-priemnik-v42-usilitel-25w-upit37-5v-mh-mx38/" TargetMode="External"/><Relationship Id="rId_hyperlink_6078" Type="http://schemas.openxmlformats.org/officeDocument/2006/relationships/hyperlink" Target="https://optovikufa.ru/product/242102/modul-regulyatora-tembra-regulirovka-zvuka-xh-m802/" TargetMode="External"/><Relationship Id="rId_hyperlink_6079" Type="http://schemas.openxmlformats.org/officeDocument/2006/relationships/hyperlink" Target="https://optovikufa.ru/product/242104/usilitel-nch-mono-d-klassa-2100w-upit-8-26v-48-om-chip-tpa3116d2-xh-m542/" TargetMode="External"/><Relationship Id="rId_hyperlink_6080" Type="http://schemas.openxmlformats.org/officeDocument/2006/relationships/hyperlink" Target="https://optovikufa.ru/product/233682/usilitel-nch-stereo-d-klassa-23vt-upit-25-5v-48-om-regulirovka-gromkosti-pam8403/" TargetMode="External"/><Relationship Id="rId_hyperlink_6081" Type="http://schemas.openxmlformats.org/officeDocument/2006/relationships/hyperlink" Target="https://optovikufa.ru/product/242103/usilitel-nch-stereo-d-klassa-280w-upit-12-24v-48-om-chip-tpa3116d2-xh-m567/" TargetMode="External"/><Relationship Id="rId_hyperlink_6082" Type="http://schemas.openxmlformats.org/officeDocument/2006/relationships/hyperlink" Target="https://optovikufa.ru/product/178986/derzhatel-predohranitelya-630-mm-so-shnurom/" TargetMode="External"/><Relationship Id="rId_hyperlink_6083" Type="http://schemas.openxmlformats.org/officeDocument/2006/relationships/hyperlink" Target="https://optovikufa.ru/product/239525/predohranitel-s-vyvodami-5h20mm-15a-h520pt/" TargetMode="External"/><Relationship Id="rId_hyperlink_6084" Type="http://schemas.openxmlformats.org/officeDocument/2006/relationships/hyperlink" Target="https://optovikufa.ru/product/239534/predohranitel-s-vyvodami-5h20mm-1a-h520pt/" TargetMode="External"/><Relationship Id="rId_hyperlink_6085" Type="http://schemas.openxmlformats.org/officeDocument/2006/relationships/hyperlink" Target="https://optovikufa.ru/product/239524/predohranitel-s-vyvodami-5h20mm-2a-h520pt/" TargetMode="External"/><Relationship Id="rId_hyperlink_6086" Type="http://schemas.openxmlformats.org/officeDocument/2006/relationships/hyperlink" Target="https://optovikufa.ru/product/239526/predohranitel-s-vyvodami-5h20mm-3a-h520pt/" TargetMode="External"/><Relationship Id="rId_hyperlink_6087" Type="http://schemas.openxmlformats.org/officeDocument/2006/relationships/hyperlink" Target="https://optovikufa.ru/product/238889/predohranitel-fuse-520mm-063a/" TargetMode="External"/><Relationship Id="rId_hyperlink_6088" Type="http://schemas.openxmlformats.org/officeDocument/2006/relationships/hyperlink" Target="https://optovikufa.ru/product/142122/predohranitel-fuse-520mm-10a/" TargetMode="External"/><Relationship Id="rId_hyperlink_6089" Type="http://schemas.openxmlformats.org/officeDocument/2006/relationships/hyperlink" Target="https://optovikufa.ru/product/142126/predohranitel-fuse-520mm-50a/" TargetMode="External"/><Relationship Id="rId_hyperlink_6090" Type="http://schemas.openxmlformats.org/officeDocument/2006/relationships/hyperlink" Target="https://optovikufa.ru/product/142128/predohranitel-fuse-520mm-80a/" TargetMode="External"/><Relationship Id="rId_hyperlink_6091" Type="http://schemas.openxmlformats.org/officeDocument/2006/relationships/hyperlink" Target="https://optovikufa.ru/product/236924/predohranitel-fuse-520mm-160a/" TargetMode="External"/><Relationship Id="rId_hyperlink_6092" Type="http://schemas.openxmlformats.org/officeDocument/2006/relationships/hyperlink" Target="https://optovikufa.ru/product/239533/termostat-ksd-301-110s-10a-normalno-zamknutyy-flanec-povorotnyy/" TargetMode="External"/><Relationship Id="rId_hyperlink_6093" Type="http://schemas.openxmlformats.org/officeDocument/2006/relationships/hyperlink" Target="https://optovikufa.ru/product/166551/termostat-ksd-301-125-10a-normalno-zamknutyy-flanec-povorotnyy/" TargetMode="External"/><Relationship Id="rId_hyperlink_6094" Type="http://schemas.openxmlformats.org/officeDocument/2006/relationships/hyperlink" Target="https://optovikufa.ru/product/239531/termostat-ksd-301-80-10a-nz-normalno-zamknutyy-flanec-povorotnyy/" TargetMode="External"/><Relationship Id="rId_hyperlink_6095" Type="http://schemas.openxmlformats.org/officeDocument/2006/relationships/hyperlink" Target="https://optovikufa.ru/product/149431/termostat-ksd-301-90-10a-nz-lbhl-normalno-zamknutyy-flanec-povorotnyy/" TargetMode="External"/><Relationship Id="rId_hyperlink_6096" Type="http://schemas.openxmlformats.org/officeDocument/2006/relationships/hyperlink" Target="https://optovikufa.ru/product/166547/termostat-ksd-301-90-10a-nr-bhl-normalno-zamknutyy-bez-flanca/" TargetMode="External"/><Relationship Id="rId_hyperlink_6097" Type="http://schemas.openxmlformats.org/officeDocument/2006/relationships/hyperlink" Target="https://optovikufa.ru/product/239532/termostat-ksd-301-95s-10a-normalno-zamknutyy-flanec-povorotnyy/" TargetMode="External"/><Relationship Id="rId_hyperlink_6098" Type="http://schemas.openxmlformats.org/officeDocument/2006/relationships/hyperlink" Target="https://optovikufa.ru/product/231946/radiator-100x50x15mm/" TargetMode="External"/><Relationship Id="rId_hyperlink_6099" Type="http://schemas.openxmlformats.org/officeDocument/2006/relationships/hyperlink" Target="https://optovikufa.ru/product/232364/radiator-100h37h15mm-290kvsm/" TargetMode="External"/><Relationship Id="rId_hyperlink_6100" Type="http://schemas.openxmlformats.org/officeDocument/2006/relationships/hyperlink" Target="https://optovikufa.ru/product/238891/radiator-100h43h20mm/" TargetMode="External"/><Relationship Id="rId_hyperlink_6101" Type="http://schemas.openxmlformats.org/officeDocument/2006/relationships/hyperlink" Target="https://optovikufa.ru/product/231940/radiator-100h48h14mm-hs183-100bla099-100/" TargetMode="External"/><Relationship Id="rId_hyperlink_6102" Type="http://schemas.openxmlformats.org/officeDocument/2006/relationships/hyperlink" Target="https://optovikufa.ru/product/238892/radiator-150h43h20mm/" TargetMode="External"/><Relationship Id="rId_hyperlink_6103" Type="http://schemas.openxmlformats.org/officeDocument/2006/relationships/hyperlink" Target="https://optovikufa.ru/product/231941/radiator-25h48h15mm-bla099-25hs183-25/" TargetMode="External"/><Relationship Id="rId_hyperlink_6104" Type="http://schemas.openxmlformats.org/officeDocument/2006/relationships/hyperlink" Target="https://optovikufa.ru/product/237689/radiator-50h48h15mm-hs183-50/" TargetMode="External"/><Relationship Id="rId_hyperlink_6105" Type="http://schemas.openxmlformats.org/officeDocument/2006/relationships/hyperlink" Target="https://optovikufa.ru/product/231942/radiator-50h48h15mm-hs183-50bla099-50/" TargetMode="External"/><Relationship Id="rId_hyperlink_6106" Type="http://schemas.openxmlformats.org/officeDocument/2006/relationships/hyperlink" Target="https://optovikufa.ru/product/240234/radiator-75h43h20mm/" TargetMode="External"/><Relationship Id="rId_hyperlink_6107" Type="http://schemas.openxmlformats.org/officeDocument/2006/relationships/hyperlink" Target="https://optovikufa.ru/product/235814/radiator-alyuminievyy-s-termolentoy-10x35x35mm-chernyy/" TargetMode="External"/><Relationship Id="rId_hyperlink_6108" Type="http://schemas.openxmlformats.org/officeDocument/2006/relationships/hyperlink" Target="https://optovikufa.ru/product/235807/radiator-alyuminievyy-s-termolentoy-5x88x88mm-serebristyy-naikos/" TargetMode="External"/><Relationship Id="rId_hyperlink_6109" Type="http://schemas.openxmlformats.org/officeDocument/2006/relationships/hyperlink" Target="https://optovikufa.ru/product/235808/radiator-alyuminievyy-s-termolentoy-5x88x88mm-chernyy-8217/" TargetMode="External"/><Relationship Id="rId_hyperlink_6110" Type="http://schemas.openxmlformats.org/officeDocument/2006/relationships/hyperlink" Target="https://optovikufa.ru/product/235806/radiator-alyuminievyy-s-termolentoy-6x14x14mm-8217-3/" TargetMode="External"/><Relationship Id="rId_hyperlink_6111" Type="http://schemas.openxmlformats.org/officeDocument/2006/relationships/hyperlink" Target="https://optovikufa.ru/product/130545/zazhim-krokodil-134mm-s-izolyatorami-krasnyychernyy-300a-cn-4127-rb-dzhett-komplektom-po-2-sht/" TargetMode="External"/><Relationship Id="rId_hyperlink_6112" Type="http://schemas.openxmlformats.org/officeDocument/2006/relationships/hyperlink" Target="https://optovikufa.ru/product/242732/zazhim-krokodil-30a-v-izolyacii-krasnyychernyy-dzhett-komplektom-po-2-sht-cena-za-1sht/" TargetMode="External"/><Relationship Id="rId_hyperlink_6113" Type="http://schemas.openxmlformats.org/officeDocument/2006/relationships/hyperlink" Target="https://optovikufa.ru/product/236488/zazhim-krokodil-4860mm-5a-v-izolyator-krasnyy/" TargetMode="External"/><Relationship Id="rId_hyperlink_6114" Type="http://schemas.openxmlformats.org/officeDocument/2006/relationships/hyperlink" Target="https://optovikufa.ru/product/242731/zazhim-krokodil-50a-krasnyychernyy-dzhett-komplektom-po-2-sht/" TargetMode="External"/><Relationship Id="rId_hyperlink_6115" Type="http://schemas.openxmlformats.org/officeDocument/2006/relationships/hyperlink" Target="https://optovikufa.ru/product/235888/zazhim-krokodil-55mm-v-izolyacii-krasnyychernyy-5a-komplektom-po-2-sht-cena-za-1-sht/" TargetMode="External"/><Relationship Id="rId_hyperlink_6116" Type="http://schemas.openxmlformats.org/officeDocument/2006/relationships/hyperlink" Target="https://optovikufa.ru/product/232859/zazhim-krokodil-70mm-s-izolyatorami-krasnyychernyy-20a-cn-4014-rb-dzhett-komplektom-po-2-sht/" TargetMode="External"/><Relationship Id="rId_hyperlink_6117" Type="http://schemas.openxmlformats.org/officeDocument/2006/relationships/hyperlink" Target="https://optovikufa.ru/product/238249/zazhim-krokodil-70mm-s-izolyatorom-simmetr-krasnyy/" TargetMode="External"/><Relationship Id="rId_hyperlink_6118" Type="http://schemas.openxmlformats.org/officeDocument/2006/relationships/hyperlink" Target="https://optovikufa.ru/product/238250/zazhim-krokodil-70mm-s-izolyatorom-simmetr-chernyy/" TargetMode="External"/><Relationship Id="rId_hyperlink_6119" Type="http://schemas.openxmlformats.org/officeDocument/2006/relationships/hyperlink" Target="https://optovikufa.ru/product/171399/zazhim-krokodil-78mm-30a-krasnyy/" TargetMode="External"/><Relationship Id="rId_hyperlink_6120" Type="http://schemas.openxmlformats.org/officeDocument/2006/relationships/hyperlink" Target="https://optovikufa.ru/product/171400/zazhim-krokodil-78mm-30a-chernyy/" TargetMode="External"/><Relationship Id="rId_hyperlink_6121" Type="http://schemas.openxmlformats.org/officeDocument/2006/relationships/hyperlink" Target="https://optovikufa.ru/product/130540/zazhim-krokodil-78mm-krasnyychernyy-30a-cn-4023-rb-dzhett-komplektom-po-2-sht-/" TargetMode="External"/><Relationship Id="rId_hyperlink_6122" Type="http://schemas.openxmlformats.org/officeDocument/2006/relationships/hyperlink" Target="https://optovikufa.ru/product/171401/zazhim-krokodil-88mm-30a-krasnyy-v-izolyacii/" TargetMode="External"/><Relationship Id="rId_hyperlink_6123" Type="http://schemas.openxmlformats.org/officeDocument/2006/relationships/hyperlink" Target="https://optovikufa.ru/product/171402/zazhim-krokodil-88mm-30a-chernyy-v-izolyacii/" TargetMode="External"/><Relationship Id="rId_hyperlink_6124" Type="http://schemas.openxmlformats.org/officeDocument/2006/relationships/hyperlink" Target="https://optovikufa.ru/product/241704/zazhim-krokodil-98mm-krasnyy/" TargetMode="External"/><Relationship Id="rId_hyperlink_6125" Type="http://schemas.openxmlformats.org/officeDocument/2006/relationships/hyperlink" Target="https://optovikufa.ru/product/232626/zazhim-krokodil-98mm-krasnyychernyy-komplektom-po-2-sht/" TargetMode="External"/><Relationship Id="rId_hyperlink_6126" Type="http://schemas.openxmlformats.org/officeDocument/2006/relationships/hyperlink" Target="https://optovikufa.ru/product/130541/zazhim-krokodil-98mm-s-izolyatorami-krasnyychernyy-50a-cn-4024-rb-dzhett-komplektom-po-2-sht/" TargetMode="External"/><Relationship Id="rId_hyperlink_6127" Type="http://schemas.openxmlformats.org/officeDocument/2006/relationships/hyperlink" Target="https://optovikufa.ru/product/241618/zazhim-krokodil-98mm-chernyy/" TargetMode="External"/><Relationship Id="rId_hyperlink_6128" Type="http://schemas.openxmlformats.org/officeDocument/2006/relationships/hyperlink" Target="https://optovikufa.ru/product/131467/zazhim-krokodil-100mm-50a-chernyy/" TargetMode="External"/><Relationship Id="rId_hyperlink_6129" Type="http://schemas.openxmlformats.org/officeDocument/2006/relationships/hyperlink" Target="https://optovikufa.ru/product/130542/zazhim-krokodil-105mm-krasnyychernyy-100a-cn-4027-rb-dzhett-komplektom-po-2-sht-/" TargetMode="External"/><Relationship Id="rId_hyperlink_6130" Type="http://schemas.openxmlformats.org/officeDocument/2006/relationships/hyperlink" Target="https://optovikufa.ru/product/130544/zazhim-krokodil-140mm-krasnyychernyy-200a-cn-4026-rb-dzhett-komplektom-po-2-sht-/" TargetMode="External"/><Relationship Id="rId_hyperlink_6131" Type="http://schemas.openxmlformats.org/officeDocument/2006/relationships/hyperlink" Target="https://optovikufa.ru/product/232051/zazhim-krokodil-148-mm-krasnyychernyy-500a-kg-g17-rb-dzhett-komplektom-po-2-sht-/" TargetMode="External"/><Relationship Id="rId_hyperlink_6132" Type="http://schemas.openxmlformats.org/officeDocument/2006/relationships/hyperlink" Target="https://optovikufa.ru/product/235702/zazhim-krokodil-35mm-plastikovyy-izolyator-simmetr-krasnyy-chernyy-58120/" TargetMode="External"/><Relationship Id="rId_hyperlink_6133" Type="http://schemas.openxmlformats.org/officeDocument/2006/relationships/hyperlink" Target="https://optovikufa.ru/product/241915/zazhim-krokodil-40mm-v-izolyacii-krasnyychernyy-komplektom-po-2-sht/" TargetMode="External"/><Relationship Id="rId_hyperlink_6134" Type="http://schemas.openxmlformats.org/officeDocument/2006/relationships/hyperlink" Target="https://optovikufa.ru/product/231916/zazhim-krokodil-40mm-v-rezinovoy-izolyacii-krasnyy-10/" TargetMode="External"/><Relationship Id="rId_hyperlink_6135" Type="http://schemas.openxmlformats.org/officeDocument/2006/relationships/hyperlink" Target="https://optovikufa.ru/product/233662/zazhim-krokodil-55mm-10a-krasnyy-10/" TargetMode="External"/><Relationship Id="rId_hyperlink_6136" Type="http://schemas.openxmlformats.org/officeDocument/2006/relationships/hyperlink" Target="https://optovikufa.ru/product/233663/zazhim-krokodil-55mm-10a-chernyy-10/" TargetMode="External"/><Relationship Id="rId_hyperlink_6137" Type="http://schemas.openxmlformats.org/officeDocument/2006/relationships/hyperlink" Target="https://optovikufa.ru/product/232624/zazhim-krokodil-55mm-v-izolyacii-krasnyychernyy-komplektom-po-2-sht-cena-za-1-sht/" TargetMode="External"/><Relationship Id="rId_hyperlink_6138" Type="http://schemas.openxmlformats.org/officeDocument/2006/relationships/hyperlink" Target="https://optovikufa.ru/product/130546/zazhimy-krokodily-dlya-shtekera-banan-50mm-s-plastikovymi-izolyatorami-15a-komplekt-2-shtuki-krasnyy-i-chernyy/" TargetMode="External"/><Relationship Id="rId_hyperlink_6139" Type="http://schemas.openxmlformats.org/officeDocument/2006/relationships/hyperlink" Target="https://optovikufa.ru/product/235817/krokodily-dlya-schupa-multimetrov-d-4mm-bc55-30080/" TargetMode="External"/><Relationship Id="rId_hyperlink_6140" Type="http://schemas.openxmlformats.org/officeDocument/2006/relationships/hyperlink" Target="https://optovikufa.ru/product/239272/gnezdo-hdmi20-4k-na-korpus-vysokoskorostnoy-soedinitelnyy-terminal-metall-serebro/" TargetMode="External"/><Relationship Id="rId_hyperlink_6141" Type="http://schemas.openxmlformats.org/officeDocument/2006/relationships/hyperlink" Target="https://optovikufa.ru/product/239271/gnezdo-hdmi20-4k-na-korpus-vysokoskorostnoy-soedinitelnyy-terminal-metall-chernyy/" TargetMode="External"/><Relationship Id="rId_hyperlink_6142" Type="http://schemas.openxmlformats.org/officeDocument/2006/relationships/hyperlink" Target="https://optovikufa.ru/product/239269/gnezdo-usb30-na-korpus-vysokoskorostnoy-soedinitelnyy-terminal-metall-chernyy/" TargetMode="External"/><Relationship Id="rId_hyperlink_6143" Type="http://schemas.openxmlformats.org/officeDocument/2006/relationships/hyperlink" Target="https://optovikufa.ru/product/173793/kolodka-akusticheskaya-2-plastikovyh-zazhima-19h38mm/" TargetMode="External"/><Relationship Id="rId_hyperlink_6144" Type="http://schemas.openxmlformats.org/officeDocument/2006/relationships/hyperlink" Target="https://optovikufa.ru/product/239119/kolodka-akusticheskaya-2-plastikovyh-zazhima-5555mm-krepezh-4646mm-posadochnyy-diametr-32mm/" TargetMode="External"/><Relationship Id="rId_hyperlink_6145" Type="http://schemas.openxmlformats.org/officeDocument/2006/relationships/hyperlink" Target="https://optovikufa.ru/product/173790/kolodka-akusticheskaya-4-plastikovyh-zazhima-19h63mm/" TargetMode="External"/><Relationship Id="rId_hyperlink_6146" Type="http://schemas.openxmlformats.org/officeDocument/2006/relationships/hyperlink" Target="https://optovikufa.ru/product/173789/kolodka-akusticheskaya-4-plastikovyh-zazhima-24h70mm/" TargetMode="External"/><Relationship Id="rId_hyperlink_6147" Type="http://schemas.openxmlformats.org/officeDocument/2006/relationships/hyperlink" Target="https://optovikufa.ru/product/232393/kolodka-akusticheskaya-8-plastikovyh-zazhimov-30h58mm/" TargetMode="External"/><Relationship Id="rId_hyperlink_6148" Type="http://schemas.openxmlformats.org/officeDocument/2006/relationships/hyperlink" Target="https://optovikufa.ru/product/240987/terminal-akusticheskih-kolonok-137mm90mm-2-gnezda-xlr/" TargetMode="External"/><Relationship Id="rId_hyperlink_6149" Type="http://schemas.openxmlformats.org/officeDocument/2006/relationships/hyperlink" Target="https://optovikufa.ru/product/241990/terminal-akusticheskih-kolonok-2-gnezda-rca/" TargetMode="External"/><Relationship Id="rId_hyperlink_6150" Type="http://schemas.openxmlformats.org/officeDocument/2006/relationships/hyperlink" Target="https://optovikufa.ru/product/241991/terminal-akusticheskih-kolonok-4-gnezda-rca/" TargetMode="External"/><Relationship Id="rId_hyperlink_6151" Type="http://schemas.openxmlformats.org/officeDocument/2006/relationships/hyperlink" Target="https://optovikufa.ru/product/242533/terminal-akusticheskih-kolonok-5757mm-2-metallicheskih-gnezda-banan/" TargetMode="External"/><Relationship Id="rId_hyperlink_6152" Type="http://schemas.openxmlformats.org/officeDocument/2006/relationships/hyperlink" Target="https://optovikufa.ru/product/240985/terminal-akusticheskih-kolonok-57mm57mm-2-metallicheskih-zazhima/" TargetMode="External"/><Relationship Id="rId_hyperlink_6153" Type="http://schemas.openxmlformats.org/officeDocument/2006/relationships/hyperlink" Target="https://optovikufa.ru/product/240986/terminal-akusticheskih-kolonok-d75-mm-2-metallicheskih-zazhima/" TargetMode="External"/><Relationship Id="rId_hyperlink_6154" Type="http://schemas.openxmlformats.org/officeDocument/2006/relationships/hyperlink" Target="https://optovikufa.ru/product/240475/terminal-akusticheskih-kolonok-2-plastikovyh-zazhima-65mm55mm/" TargetMode="External"/><Relationship Id="rId_hyperlink_6155" Type="http://schemas.openxmlformats.org/officeDocument/2006/relationships/hyperlink" Target="https://optovikufa.ru/product/240473/terminal-akusticheskih-kolonok-2-plastikovyh-zazhima-d30mm/" TargetMode="External"/><Relationship Id="rId_hyperlink_6156" Type="http://schemas.openxmlformats.org/officeDocument/2006/relationships/hyperlink" Target="https://optovikufa.ru/product/240631/terminal-akusticheskih-kolonok-2-plastikovyh-zazhima-d55mm/" TargetMode="External"/><Relationship Id="rId_hyperlink_6157" Type="http://schemas.openxmlformats.org/officeDocument/2006/relationships/hyperlink" Target="https://optovikufa.ru/product/238618/gnezdo-na-korpus-banana-267mm-pozolochennyy-krasnyy-pod-payku-jd-535/" TargetMode="External"/><Relationship Id="rId_hyperlink_6158" Type="http://schemas.openxmlformats.org/officeDocument/2006/relationships/hyperlink" Target="https://optovikufa.ru/product/238617/gnezdo-na-korpus-banana-267mm-pozolochennyy-chernyy-pod-payku-jd-535-5/" TargetMode="External"/><Relationship Id="rId_hyperlink_6159" Type="http://schemas.openxmlformats.org/officeDocument/2006/relationships/hyperlink" Target="https://optovikufa.ru/product/235983/shteker-banana-kreplenie-kabelya-na-vint-gold-0015-krasnyy-5/" TargetMode="External"/><Relationship Id="rId_hyperlink_6160" Type="http://schemas.openxmlformats.org/officeDocument/2006/relationships/hyperlink" Target="https://optovikufa.ru/product/235982/shteker-banana-kreplenie-kabelya-na-vint-gold-0015-chernyy-5/" TargetMode="External"/><Relationship Id="rId_hyperlink_6161" Type="http://schemas.openxmlformats.org/officeDocument/2006/relationships/hyperlink" Target="https://optovikufa.ru/product/183389/shteker-banana-pod-payku-gold-0068-krasnyy/" TargetMode="External"/><Relationship Id="rId_hyperlink_6162" Type="http://schemas.openxmlformats.org/officeDocument/2006/relationships/hyperlink" Target="https://optovikufa.ru/product/183390/shteker-banana-pod-payku-gold-0068-chernyy/" TargetMode="External"/><Relationship Id="rId_hyperlink_6163" Type="http://schemas.openxmlformats.org/officeDocument/2006/relationships/hyperlink" Target="https://optovikufa.ru/product/243168/shteker-akusticheskiy-banana-l-kreplenie-na-vint-krasnaya-polosa-xangsane-5/" TargetMode="External"/><Relationship Id="rId_hyperlink_6164" Type="http://schemas.openxmlformats.org/officeDocument/2006/relationships/hyperlink" Target="https://optovikufa.ru/product/243220/shteker-akusticheskiy-banana-l-kreplenie-na-vint-chernaya-polosa-xangsane-5/" TargetMode="External"/><Relationship Id="rId_hyperlink_6165" Type="http://schemas.openxmlformats.org/officeDocument/2006/relationships/hyperlink" Target="https://optovikufa.ru/product/243167/shteker-akusticheskiy-banana-l-pero-kreplenie-na-vint-xangsane/" TargetMode="External"/><Relationship Id="rId_hyperlink_6166" Type="http://schemas.openxmlformats.org/officeDocument/2006/relationships/hyperlink" Target="https://optovikufa.ru/product/242111/shteker-akusticheskiy-banana-l26-pero-kreplenie-na-vint-belaya-polosa-bs26p-bw/" TargetMode="External"/><Relationship Id="rId_hyperlink_6167" Type="http://schemas.openxmlformats.org/officeDocument/2006/relationships/hyperlink" Target="https://optovikufa.ru/product/242110/shteker-akusticheskiy-banana-l26-pero-kreplenie-na-vint-krasnaya-polosa-bs26p-br/" TargetMode="External"/><Relationship Id="rId_hyperlink_6168" Type="http://schemas.openxmlformats.org/officeDocument/2006/relationships/hyperlink" Target="https://optovikufa.ru/product/242107/shteker-akusticheskiy-tip-l31pletenyy-provod-kreplenie-na-vint-belaya-polosa-btt31p-bw-5/" TargetMode="External"/><Relationship Id="rId_hyperlink_6169" Type="http://schemas.openxmlformats.org/officeDocument/2006/relationships/hyperlink" Target="https://optovikufa.ru/product/242106/shteker-akusticheskiy-tip-l31pletenyy-provod-kreplenie-na-vint-krasnaya-polosa-btt31p-br-5/" TargetMode="External"/><Relationship Id="rId_hyperlink_6170" Type="http://schemas.openxmlformats.org/officeDocument/2006/relationships/hyperlink" Target="https://optovikufa.ru/product/242109/shteker-akusticheskiy-tip-l33-kreplenie-na-vint-belaya-polosa-btt33p-br-5/" TargetMode="External"/><Relationship Id="rId_hyperlink_6171" Type="http://schemas.openxmlformats.org/officeDocument/2006/relationships/hyperlink" Target="https://optovikufa.ru/product/242108/shteker-akusticheskiy-tip-l33-kreplenie-na-vint-krasnaya-polosa-btt33p-bw-5/" TargetMode="External"/><Relationship Id="rId_hyperlink_6172" Type="http://schemas.openxmlformats.org/officeDocument/2006/relationships/hyperlink" Target="https://optovikufa.ru/product/232417/razem-gx12m-4a-gnezdo-4pin/" TargetMode="External"/><Relationship Id="rId_hyperlink_6173" Type="http://schemas.openxmlformats.org/officeDocument/2006/relationships/hyperlink" Target="https://optovikufa.ru/product/232418/razem-gx12m-4b-shteker-4pin/" TargetMode="External"/><Relationship Id="rId_hyperlink_6174" Type="http://schemas.openxmlformats.org/officeDocument/2006/relationships/hyperlink" Target="https://optovikufa.ru/product/240285/razem-gx16m-3-shteker-3pin-na-kabel/" TargetMode="External"/><Relationship Id="rId_hyperlink_6175" Type="http://schemas.openxmlformats.org/officeDocument/2006/relationships/hyperlink" Target="https://optovikufa.ru/product/232421/razem-gx16m-4a-gnezdo-4pin/" TargetMode="External"/><Relationship Id="rId_hyperlink_6176" Type="http://schemas.openxmlformats.org/officeDocument/2006/relationships/hyperlink" Target="https://optovikufa.ru/product/232422/razem-gx16m-4b-shteker-4pin/" TargetMode="External"/><Relationship Id="rId_hyperlink_6177" Type="http://schemas.openxmlformats.org/officeDocument/2006/relationships/hyperlink" Target="https://optovikufa.ru/product/232248/razem-gx16m-5a-gnezdo-na-kabel-5pin-10/" TargetMode="External"/><Relationship Id="rId_hyperlink_6178" Type="http://schemas.openxmlformats.org/officeDocument/2006/relationships/hyperlink" Target="https://optovikufa.ru/product/232249/razem-gx16m-5b-shteker-na-korpus-5pin-10/" TargetMode="External"/><Relationship Id="rId_hyperlink_6179" Type="http://schemas.openxmlformats.org/officeDocument/2006/relationships/hyperlink" Target="https://optovikufa.ru/product/232423/razem-gx16m-6a-gnezdo-na-kabel-6pin-10/" TargetMode="External"/><Relationship Id="rId_hyperlink_6180" Type="http://schemas.openxmlformats.org/officeDocument/2006/relationships/hyperlink" Target="https://optovikufa.ru/product/232424/razem-gx16m-6b-shteker-na-korpus-6pin-10/" TargetMode="External"/><Relationship Id="rId_hyperlink_6181" Type="http://schemas.openxmlformats.org/officeDocument/2006/relationships/hyperlink" Target="https://optovikufa.ru/product/240641/razem-gx18m-4a-gnezdo-4pin/" TargetMode="External"/><Relationship Id="rId_hyperlink_6182" Type="http://schemas.openxmlformats.org/officeDocument/2006/relationships/hyperlink" Target="https://optovikufa.ru/product/240642/razem-gx18m-4e-shteker-4pin-na-korpus/" TargetMode="External"/><Relationship Id="rId_hyperlink_6183" Type="http://schemas.openxmlformats.org/officeDocument/2006/relationships/hyperlink" Target="https://optovikufa.ru/product/240643/razem-gx18m-5a-gnezdo-5pin/" TargetMode="External"/><Relationship Id="rId_hyperlink_6184" Type="http://schemas.openxmlformats.org/officeDocument/2006/relationships/hyperlink" Target="https://optovikufa.ru/product/240644/razem-gx18m-5e-shteker-5pin-na-korpus/" TargetMode="External"/><Relationship Id="rId_hyperlink_6185" Type="http://schemas.openxmlformats.org/officeDocument/2006/relationships/hyperlink" Target="https://optovikufa.ru/product/238365/gnezdo-microusb-na-plate-5pin-metallizirovannye-kontakty/" TargetMode="External"/><Relationship Id="rId_hyperlink_6186" Type="http://schemas.openxmlformats.org/officeDocument/2006/relationships/hyperlink" Target="https://optovikufa.ru/product/177223/shteker-miniusb-payka/" TargetMode="External"/><Relationship Id="rId_hyperlink_6187" Type="http://schemas.openxmlformats.org/officeDocument/2006/relationships/hyperlink" Target="https://optovikufa.ru/product/240812/gnezdo-type-c-na-plate-13pin-metallizirovannye-kontakty/" TargetMode="External"/><Relationship Id="rId_hyperlink_6188" Type="http://schemas.openxmlformats.org/officeDocument/2006/relationships/hyperlink" Target="https://optovikufa.ru/product/241819/gnezdo-type-c-na-plate-vertikalnyy-razem-254-4pin-05-14-5/" TargetMode="External"/><Relationship Id="rId_hyperlink_6189" Type="http://schemas.openxmlformats.org/officeDocument/2006/relationships/hyperlink" Target="https://optovikufa.ru/product/241818/gnezdo-type-c-na-plate-gorizontalnyy-razem-254-4pin-05-17-5/" TargetMode="External"/><Relationship Id="rId_hyperlink_6190" Type="http://schemas.openxmlformats.org/officeDocument/2006/relationships/hyperlink" Target="https://optovikufa.ru/product/241339/gnezdo-pitaniya-type-c-ustanovochnoe-na-korpus-usb-31-24pf-xh254-002/" TargetMode="External"/><Relationship Id="rId_hyperlink_6191" Type="http://schemas.openxmlformats.org/officeDocument/2006/relationships/hyperlink" Target="https://optovikufa.ru/product/242755/gnezdo-pitaniya-type-c-ustanovochnoe-na-korpus-2pin-zaschelki-dlina-155mm-2pin-d/" TargetMode="External"/><Relationship Id="rId_hyperlink_6192" Type="http://schemas.openxmlformats.org/officeDocument/2006/relationships/hyperlink" Target="https://optovikufa.ru/product/240243/gnezdo-pitaniya-type-c-ustanovochnoe-na-korpus-2pin-ushi-gorizontalnye-24pf-c-ipx8-001/" TargetMode="External"/><Relationship Id="rId_hyperlink_6193" Type="http://schemas.openxmlformats.org/officeDocument/2006/relationships/hyperlink" Target="https://optovikufa.ru/product/241824/gnezdo-pitaniya-type-c-ustanovochnoe-na-korpus-2pin-ushi-gorizontalnye-dlina-65mm-5/" TargetMode="External"/><Relationship Id="rId_hyperlink_6194" Type="http://schemas.openxmlformats.org/officeDocument/2006/relationships/hyperlink" Target="https://optovikufa.ru/product/242756/gnezdo-pitaniya-type-c-ustanovochnoe-na-korpus-4pin-gayka-dlina-155mm-4pin/" TargetMode="External"/><Relationship Id="rId_hyperlink_6195" Type="http://schemas.openxmlformats.org/officeDocument/2006/relationships/hyperlink" Target="https://optovikufa.ru/product/240238/gnezdo-pitaniya-type-c-ustanovochnoe-na-korpus-4pin-gayka-dlina-155mm-4pin-20/" TargetMode="External"/><Relationship Id="rId_hyperlink_6196" Type="http://schemas.openxmlformats.org/officeDocument/2006/relationships/hyperlink" Target="https://optovikufa.ru/product/240244/gnezdo-pitaniya-type-c-ustanovochnoe-na-korpus-6pin-ushi-vertikalnye-usba-6f-c-ipx8-001/" TargetMode="External"/><Relationship Id="rId_hyperlink_6197" Type="http://schemas.openxmlformats.org/officeDocument/2006/relationships/hyperlink" Target="https://optovikufa.ru/product/169878/gnezdo-usb20-na-plate-smd-4pin-metallizirovannye-kontakty/" TargetMode="External"/><Relationship Id="rId_hyperlink_6198" Type="http://schemas.openxmlformats.org/officeDocument/2006/relationships/hyperlink" Target="https://optovikufa.ru/product/240811/gnezdo-usb30-na-plate-smd-9pin-metallizirovannye-kontakty/" TargetMode="External"/><Relationship Id="rId_hyperlink_6199" Type="http://schemas.openxmlformats.org/officeDocument/2006/relationships/hyperlink" Target="https://optovikufa.ru/product/242758/gnezdo-pitaniya-usb-ustanovochnoe-na-korpus-2pin-dlina-100mm-usb-2pin-f/" TargetMode="External"/><Relationship Id="rId_hyperlink_6200" Type="http://schemas.openxmlformats.org/officeDocument/2006/relationships/hyperlink" Target="https://optovikufa.ru/product/242757/gnezdo-pitaniya-usb-ustanovochnoe-na-korpus-2pin-zaschelki-dlina-100mm-usb-2pin/" TargetMode="External"/><Relationship Id="rId_hyperlink_6201" Type="http://schemas.openxmlformats.org/officeDocument/2006/relationships/hyperlink" Target="https://optovikufa.ru/product/240239/gnezdo-pitaniya-usb-ustanovochnoe-na-korpus-2pin-zaschelki-dlina-110mm-2pin-ph20/" TargetMode="External"/><Relationship Id="rId_hyperlink_6202" Type="http://schemas.openxmlformats.org/officeDocument/2006/relationships/hyperlink" Target="https://optovikufa.ru/product/241826/gnezdo-pitaniya-usb-ustanovochnoe-na-korpus-4pin-montazhnaya-planka-cn-73-5/" TargetMode="External"/><Relationship Id="rId_hyperlink_6203" Type="http://schemas.openxmlformats.org/officeDocument/2006/relationships/hyperlink" Target="https://optovikufa.ru/product/130203/razem-usb-20-gnezdo-na-kabel-razbornyy-korpus/" TargetMode="External"/><Relationship Id="rId_hyperlink_6204" Type="http://schemas.openxmlformats.org/officeDocument/2006/relationships/hyperlink" Target="https://optovikufa.ru/product/126539/razem-usb-20-shteker-na-kabel-razbornyy-korpus/" TargetMode="External"/><Relationship Id="rId_hyperlink_6205" Type="http://schemas.openxmlformats.org/officeDocument/2006/relationships/hyperlink" Target="https://optovikufa.ru/product/242535/razem-usb-20-shteker-na-kabel-razbornyy-korpus-malyy/" TargetMode="External"/><Relationship Id="rId_hyperlink_6206" Type="http://schemas.openxmlformats.org/officeDocument/2006/relationships/hyperlink" Target="https://optovikufa.ru/product/242536/razem-usb-20-shteker-na-kabel-razbornyy-korpus-belyy-5/" TargetMode="External"/><Relationship Id="rId_hyperlink_6207" Type="http://schemas.openxmlformats.org/officeDocument/2006/relationships/hyperlink" Target="https://optovikufa.ru/product/233750/gnezdo-speacon-plastik-na-kabel/" TargetMode="External"/><Relationship Id="rId_hyperlink_6208" Type="http://schemas.openxmlformats.org/officeDocument/2006/relationships/hyperlink" Target="https://optovikufa.ru/product/233744/gnezdo-xlr-4pin-80mm-na-kabel-s-homutom/" TargetMode="External"/><Relationship Id="rId_hyperlink_6209" Type="http://schemas.openxmlformats.org/officeDocument/2006/relationships/hyperlink" Target="https://optovikufa.ru/product/233745/gnezdo-xlr-5pin-80mm-na-kabel-s-homutom/" TargetMode="External"/><Relationship Id="rId_hyperlink_6210" Type="http://schemas.openxmlformats.org/officeDocument/2006/relationships/hyperlink" Target="https://optovikufa.ru/product/232244/razem-xlr-gnezdo-3pin-na-kabel/" TargetMode="External"/><Relationship Id="rId_hyperlink_6211" Type="http://schemas.openxmlformats.org/officeDocument/2006/relationships/hyperlink" Target="https://optovikufa.ru/product/232245/razem-xlr-shteker-3pin-na-kabel/" TargetMode="External"/><Relationship Id="rId_hyperlink_6212" Type="http://schemas.openxmlformats.org/officeDocument/2006/relationships/hyperlink" Target="https://optovikufa.ru/product/233748/shteker-speacon-68mm-plastik-na-kabel/" TargetMode="External"/><Relationship Id="rId_hyperlink_6213" Type="http://schemas.openxmlformats.org/officeDocument/2006/relationships/hyperlink" Target="https://optovikufa.ru/product/233743/shteker-xlr-4pin-70mm-na-kabel-s-homutom/" TargetMode="External"/><Relationship Id="rId_hyperlink_6214" Type="http://schemas.openxmlformats.org/officeDocument/2006/relationships/hyperlink" Target="https://optovikufa.ru/product/242401/audio-gnezdo-25-mm-4-pin-smd-stereo-na-platu-pj-208a/" TargetMode="External"/><Relationship Id="rId_hyperlink_6215" Type="http://schemas.openxmlformats.org/officeDocument/2006/relationships/hyperlink" Target="https://optovikufa.ru/product/149414/audio-gnezdo-35-mm-5-pin-stereo-pcb-tj-320/" TargetMode="External"/><Relationship Id="rId_hyperlink_6216" Type="http://schemas.openxmlformats.org/officeDocument/2006/relationships/hyperlink" Target="https://optovikufa.ru/product/153977/audio-gnezdo-35-mm-stereo-na-kabel-5/" TargetMode="External"/><Relationship Id="rId_hyperlink_6217" Type="http://schemas.openxmlformats.org/officeDocument/2006/relationships/hyperlink" Target="https://optovikufa.ru/product/129517/audio-gnezdo-35-mm-stereo-na-kabel-metall-5/" TargetMode="External"/><Relationship Id="rId_hyperlink_6218" Type="http://schemas.openxmlformats.org/officeDocument/2006/relationships/hyperlink" Target="https://optovikufa.ru/product/241988/shteker-35-jack-2-pin-mono-metall-zoloto/" TargetMode="External"/><Relationship Id="rId_hyperlink_6219" Type="http://schemas.openxmlformats.org/officeDocument/2006/relationships/hyperlink" Target="https://optovikufa.ru/product/232029/shteker-35-jack-3-pin-stereo-metall-zoloto-5/" TargetMode="External"/><Relationship Id="rId_hyperlink_6220" Type="http://schemas.openxmlformats.org/officeDocument/2006/relationships/hyperlink" Target="https://optovikufa.ru/product/236867/shteker-35-jack-3-pin-stereo-plastik-5/" TargetMode="External"/><Relationship Id="rId_hyperlink_6221" Type="http://schemas.openxmlformats.org/officeDocument/2006/relationships/hyperlink" Target="https://optovikufa.ru/product/241450/shteker-35-jack-3-pin-stereo-titan-5/" TargetMode="External"/><Relationship Id="rId_hyperlink_6222" Type="http://schemas.openxmlformats.org/officeDocument/2006/relationships/hyperlink" Target="https://optovikufa.ru/product/232031/shteker-35-jack-4-pin-metall-5/" TargetMode="External"/><Relationship Id="rId_hyperlink_6223" Type="http://schemas.openxmlformats.org/officeDocument/2006/relationships/hyperlink" Target="https://optovikufa.ru/product/236386/shteker-35-jack-stereo-metall/" TargetMode="External"/><Relationship Id="rId_hyperlink_6224" Type="http://schemas.openxmlformats.org/officeDocument/2006/relationships/hyperlink" Target="https://optovikufa.ru/product/232036/shteker-audio-jack-63-trs-stereo-metall-zoloto-5/" TargetMode="External"/><Relationship Id="rId_hyperlink_6225" Type="http://schemas.openxmlformats.org/officeDocument/2006/relationships/hyperlink" Target="https://optovikufa.ru/product/130753/shteker-audio-jack-63-trs-stereo-metall-nikel-5/" TargetMode="External"/><Relationship Id="rId_hyperlink_6226" Type="http://schemas.openxmlformats.org/officeDocument/2006/relationships/hyperlink" Target="https://optovikufa.ru/product/233654/shteker-audio-jack-63-trs-stereo-plastik/" TargetMode="External"/><Relationship Id="rId_hyperlink_6227" Type="http://schemas.openxmlformats.org/officeDocument/2006/relationships/hyperlink" Target="https://optovikufa.ru/product/232034/shteker-audio-jack-63-ts-mono-metall-zoloto-5/" TargetMode="External"/><Relationship Id="rId_hyperlink_6228" Type="http://schemas.openxmlformats.org/officeDocument/2006/relationships/hyperlink" Target="https://optovikufa.ru/product/232033/shteker-audio-jack-63-ts-mono-metall-nikel-5/" TargetMode="External"/><Relationship Id="rId_hyperlink_6229" Type="http://schemas.openxmlformats.org/officeDocument/2006/relationships/hyperlink" Target="https://optovikufa.ru/product/232032/shteker-audio-jack-63-ts-mono-plastik-pod-payku-5/" TargetMode="External"/><Relationship Id="rId_hyperlink_6230" Type="http://schemas.openxmlformats.org/officeDocument/2006/relationships/hyperlink" Target="https://optovikufa.ru/product/241452/shteker-audio-jack-63-canga-siniy-ts-mono-5/" TargetMode="External"/><Relationship Id="rId_hyperlink_6231" Type="http://schemas.openxmlformats.org/officeDocument/2006/relationships/hyperlink" Target="https://optovikufa.ru/product/241453/shteker-audio-jack-63-canga-siniy-trs-stereo-5/" TargetMode="External"/><Relationship Id="rId_hyperlink_6232" Type="http://schemas.openxmlformats.org/officeDocument/2006/relationships/hyperlink" Target="https://optovikufa.ru/product/232949/shteker-audio-jack-63-canga-chernyy-trs-stereo/" TargetMode="External"/><Relationship Id="rId_hyperlink_6233" Type="http://schemas.openxmlformats.org/officeDocument/2006/relationships/hyperlink" Target="https://optovikufa.ru/product/241455/shteker-audio-jack-63-pruzhina-antizalom-pod-payku-metall-trs-stereo-5/" TargetMode="External"/><Relationship Id="rId_hyperlink_6234" Type="http://schemas.openxmlformats.org/officeDocument/2006/relationships/hyperlink" Target="https://optovikufa.ru/product/241454/shteker-audio-jack-63-pruzhina-antizalom-pod-payku-metall-ts-mono-5/" TargetMode="External"/><Relationship Id="rId_hyperlink_6235" Type="http://schemas.openxmlformats.org/officeDocument/2006/relationships/hyperlink" Target="https://optovikufa.ru/product/229932/razem-klemmnaya-kolodka-shteker-bnc-pod-vint-s-pruzhinoy/" TargetMode="External"/><Relationship Id="rId_hyperlink_6236" Type="http://schemas.openxmlformats.org/officeDocument/2006/relationships/hyperlink" Target="https://optovikufa.ru/product/235684/shteker-bnc-pod-vint-plastik/" TargetMode="External"/><Relationship Id="rId_hyperlink_6237" Type="http://schemas.openxmlformats.org/officeDocument/2006/relationships/hyperlink" Target="https://optovikufa.ru/product/241989/gnezdo-rca-tyulpan-na-korpus-zoloto-krasnoechernoe-10/" TargetMode="External"/><Relationship Id="rId_hyperlink_6238" Type="http://schemas.openxmlformats.org/officeDocument/2006/relationships/hyperlink" Target="https://optovikufa.ru/product/243166/zaschitnye-kolpachki-dlya-rca-gnezd-komplek-12sht/" TargetMode="External"/><Relationship Id="rId_hyperlink_6239" Type="http://schemas.openxmlformats.org/officeDocument/2006/relationships/hyperlink" Target="https://optovikufa.ru/product/241540/shteker-rca-tyulpan-metall-l48-pod-vint-cangovyy-karbon-beloe-kolco-46pt-cw/" TargetMode="External"/><Relationship Id="rId_hyperlink_6240" Type="http://schemas.openxmlformats.org/officeDocument/2006/relationships/hyperlink" Target="https://optovikufa.ru/product/241541/shteker-rca-tyulpan-metall-l48-pod-vint-cangovyy-karbon-krasnoe-kolco-46pt-cr/" TargetMode="External"/><Relationship Id="rId_hyperlink_6241" Type="http://schemas.openxmlformats.org/officeDocument/2006/relationships/hyperlink" Target="https://optovikufa.ru/product/131248/shteker-scart-21-pin-al-335/" TargetMode="External"/><Relationship Id="rId_hyperlink_6242" Type="http://schemas.openxmlformats.org/officeDocument/2006/relationships/hyperlink" Target="https://optovikufa.ru/product/240798/gnezdo-din-5pin-na-provod-kontakty-pod-payku/" TargetMode="External"/><Relationship Id="rId_hyperlink_6243" Type="http://schemas.openxmlformats.org/officeDocument/2006/relationships/hyperlink" Target="https://optovikufa.ru/product/240279/shteker-din-3pin-na-provod-kontakty-pod-payku-plastik-nikel/" TargetMode="External"/><Relationship Id="rId_hyperlink_6244" Type="http://schemas.openxmlformats.org/officeDocument/2006/relationships/hyperlink" Target="https://optovikufa.ru/product/232227/shteker-din-5pin-na-provod-kontakty-pod-payku/" TargetMode="External"/><Relationship Id="rId_hyperlink_6245" Type="http://schemas.openxmlformats.org/officeDocument/2006/relationships/hyperlink" Target="https://optovikufa.ru/product/241993/gnezdo-pitaniya-ustanovochnoe-na-korpus-55h21mm-metall-5/" TargetMode="External"/><Relationship Id="rId_hyperlink_6246" Type="http://schemas.openxmlformats.org/officeDocument/2006/relationships/hyperlink" Target="https://optovikufa.ru/product/232555/gnezdo-pitaniya-ustanovochnoe-na-korpus-55h21mm-metall-plastik-5/" TargetMode="External"/><Relationship Id="rId_hyperlink_6247" Type="http://schemas.openxmlformats.org/officeDocument/2006/relationships/hyperlink" Target="https://optovikufa.ru/product/239567/komplekt-razemov-pitaniya-dc-8-razmerov-vhod-gnezdo-5521/" TargetMode="External"/><Relationship Id="rId_hyperlink_6248" Type="http://schemas.openxmlformats.org/officeDocument/2006/relationships/hyperlink" Target="https://optovikufa.ru/product/239568/komplekt-razemov-pitaniya-dc-8-razmerov-vhod-shtyrevoy-konnektor/" TargetMode="External"/><Relationship Id="rId_hyperlink_6249" Type="http://schemas.openxmlformats.org/officeDocument/2006/relationships/hyperlink" Target="https://optovikufa.ru/product/143840/razem-pitaniya-dc-gnezdo-55h21mm-na-kabel-5/" TargetMode="External"/><Relationship Id="rId_hyperlink_6250" Type="http://schemas.openxmlformats.org/officeDocument/2006/relationships/hyperlink" Target="https://optovikufa.ru/product/175307/razem-pitaniya-dc-shteker-35h14mm-5/" TargetMode="External"/><Relationship Id="rId_hyperlink_6251" Type="http://schemas.openxmlformats.org/officeDocument/2006/relationships/hyperlink" Target="https://optovikufa.ru/product/232572/razem-pitaniya-dc-shteker-55h21h9mm-plastik-5/" TargetMode="External"/><Relationship Id="rId_hyperlink_6252" Type="http://schemas.openxmlformats.org/officeDocument/2006/relationships/hyperlink" Target="https://optovikufa.ru/product/171430/razem-pitaniya-dc-shteker-55h25h9mm-plastik-5/" TargetMode="External"/><Relationship Id="rId_hyperlink_6253" Type="http://schemas.openxmlformats.org/officeDocument/2006/relationships/hyperlink" Target="https://optovikufa.ru/product/242437/razem-pitaniya-gnezdo-55x21mm-s-kabelem-dlina-300mm/" TargetMode="External"/><Relationship Id="rId_hyperlink_6254" Type="http://schemas.openxmlformats.org/officeDocument/2006/relationships/hyperlink" Target="https://optovikufa.ru/product/242436/razem-pitaniya-shteker-55x21mm-s-kabelem-dlina-300mm/" TargetMode="External"/><Relationship Id="rId_hyperlink_6255" Type="http://schemas.openxmlformats.org/officeDocument/2006/relationships/hyperlink" Target="https://optovikufa.ru/product/232638/gnezdo-setevoe-s14-na-korpus-boks-pod-predohranitel/" TargetMode="External"/><Relationship Id="rId_hyperlink_6256" Type="http://schemas.openxmlformats.org/officeDocument/2006/relationships/hyperlink" Target="https://optovikufa.ru/product/239528/gnezdo-setevoe-s14-na-korpus-s-vyklyuchatelem-vertikalnyy-montazh-ac-046/" TargetMode="External"/><Relationship Id="rId_hyperlink_6257" Type="http://schemas.openxmlformats.org/officeDocument/2006/relationships/hyperlink" Target="https://optovikufa.ru/product/232240/gnezdo-setevoe-s14-na-korpus-s-zaschelkami-ac-015/" TargetMode="External"/><Relationship Id="rId_hyperlink_6258" Type="http://schemas.openxmlformats.org/officeDocument/2006/relationships/hyperlink" Target="https://optovikufa.ru/product/240280/gnezdo-setevoe-s16-na-korpus-s-ushami/" TargetMode="External"/><Relationship Id="rId_hyperlink_6259" Type="http://schemas.openxmlformats.org/officeDocument/2006/relationships/hyperlink" Target="https://optovikufa.ru/product/242767/gnezdo-setevoe-s6-na-korpus-s-ushami-250v-10a/" TargetMode="External"/><Relationship Id="rId_hyperlink_6260" Type="http://schemas.openxmlformats.org/officeDocument/2006/relationships/hyperlink" Target="https://optovikufa.ru/product/232238/gnezdo-setevoe-s8-na-korpus/" TargetMode="External"/><Relationship Id="rId_hyperlink_6261" Type="http://schemas.openxmlformats.org/officeDocument/2006/relationships/hyperlink" Target="https://optovikufa.ru/product/239529/gnezdo-setevoe-s8-na-korpus-s-vyklyuchatelem/" TargetMode="External"/><Relationship Id="rId_hyperlink_6262" Type="http://schemas.openxmlformats.org/officeDocument/2006/relationships/hyperlink" Target="https://optovikufa.ru/product/240281/rozetka-universalnaya-tip-a-tip-s-2-polyusnaya-rossiya-yaponiya-kitay-ssha/" TargetMode="External"/><Relationship Id="rId_hyperlink_6263" Type="http://schemas.openxmlformats.org/officeDocument/2006/relationships/hyperlink" Target="https://optovikufa.ru/product/143522/shteker-pitaniya-setevoy-c13-iec-320-na-kabel-razbornyy-10a-220v/" TargetMode="External"/><Relationship Id="rId_hyperlink_6264" Type="http://schemas.openxmlformats.org/officeDocument/2006/relationships/hyperlink" Target="https://optovikufa.ru/product/154391/shteker-pitaniya-setevoy-c7-na-kabel-razbornyy-ac-047-5/" TargetMode="External"/><Relationship Id="rId_hyperlink_6265" Type="http://schemas.openxmlformats.org/officeDocument/2006/relationships/hyperlink" Target="https://optovikufa.ru/product/143523/shteker-pitaniya-setevoy-s14-na-shnur-5/" TargetMode="External"/><Relationship Id="rId_hyperlink_6266" Type="http://schemas.openxmlformats.org/officeDocument/2006/relationships/hyperlink" Target="https://optovikufa.ru/product/232091/silovoy-razem-xt90f-gnezdo-do-100a/" TargetMode="External"/><Relationship Id="rId_hyperlink_6267" Type="http://schemas.openxmlformats.org/officeDocument/2006/relationships/hyperlink" Target="https://optovikufa.ru/product/232089/silovoy-razem-xt90m-shteker-do-100a/" TargetMode="External"/><Relationship Id="rId_hyperlink_6268" Type="http://schemas.openxmlformats.org/officeDocument/2006/relationships/hyperlink" Target="https://optovikufa.ru/product/242769/silovye-razemy-deans-t-plug-shteker-gnezdo-do-40a-komplekt-deans-mf-5/" TargetMode="External"/><Relationship Id="rId_hyperlink_6269" Type="http://schemas.openxmlformats.org/officeDocument/2006/relationships/hyperlink" Target="https://optovikufa.ru/product/239561/silovye-razemy-deans-t-plug-shteker-gnezdo-do-50a-komplekt-am1015-mr/" TargetMode="External"/><Relationship Id="rId_hyperlink_6270" Type="http://schemas.openxmlformats.org/officeDocument/2006/relationships/hyperlink" Target="https://optovikufa.ru/product/242768/silovye-razemy-deans-t-plug-shteker-gnezdo-do-50a-komplekt-am1015e-fr-5/" TargetMode="External"/><Relationship Id="rId_hyperlink_6271" Type="http://schemas.openxmlformats.org/officeDocument/2006/relationships/hyperlink" Target="https://optovikufa.ru/product/242770/silovye-razemy-ec2-shteker-gnezdo-do-50a-komplekt-ec2-mfset-5/" TargetMode="External"/><Relationship Id="rId_hyperlink_6272" Type="http://schemas.openxmlformats.org/officeDocument/2006/relationships/hyperlink" Target="https://optovikufa.ru/product/242771/silovye-razemy-mr30-shteker-gnezdo-3-pin-do-20a-komplekt-mr30-mr-5/" TargetMode="External"/><Relationship Id="rId_hyperlink_6273" Type="http://schemas.openxmlformats.org/officeDocument/2006/relationships/hyperlink" Target="https://optovikufa.ru/product/242772/silovye-razemy-mt30-shteker-gnezdo-3-pin-do-20akomplekt-mt30-mr-5/" TargetMode="External"/><Relationship Id="rId_hyperlink_6274" Type="http://schemas.openxmlformats.org/officeDocument/2006/relationships/hyperlink" Target="https://optovikufa.ru/product/241043/silovye-razemy-xt30m-xt30f-shteker-gnezdo-do-15a-komplekt/" TargetMode="External"/><Relationship Id="rId_hyperlink_6275" Type="http://schemas.openxmlformats.org/officeDocument/2006/relationships/hyperlink" Target="https://optovikufa.ru/product/241044/silovye-razemy-xt90m-xt90f-shteker-gnezdo-do-50a-komplekt/" TargetMode="External"/><Relationship Id="rId_hyperlink_6276" Type="http://schemas.openxmlformats.org/officeDocument/2006/relationships/hyperlink" Target="https://optovikufa.ru/product/154197/konnektor-8r8s-rg-45-dlya-utp-kabelya-kat-plastmassovyy-upak50sht/" TargetMode="External"/><Relationship Id="rId_hyperlink_6277" Type="http://schemas.openxmlformats.org/officeDocument/2006/relationships/hyperlink" Target="https://optovikufa.ru/product/234107/rozetka-kompyuternaya-rj-45-8p8c-2-porta-kategoriya-5e-otkrytyy-montazh/" TargetMode="External"/><Relationship Id="rId_hyperlink_6278" Type="http://schemas.openxmlformats.org/officeDocument/2006/relationships/hyperlink" Target="https://optovikufa.ru/product/130522/telefonnaya-rozetka-telefonnaya-vilka-komplekt-elset/" TargetMode="External"/><Relationship Id="rId_hyperlink_6279" Type="http://schemas.openxmlformats.org/officeDocument/2006/relationships/hyperlink" Target="https://optovikufa.ru/product/131278/telefonnaya-rozetka-evro-1-gnezdo-6r4s/" TargetMode="External"/><Relationship Id="rId_hyperlink_6280" Type="http://schemas.openxmlformats.org/officeDocument/2006/relationships/hyperlink" Target="https://optovikufa.ru/product/122293/telefonnaya-rozetka-evro-2-gnezda-6r4s-elset/" TargetMode="External"/><Relationship Id="rId_hyperlink_6281" Type="http://schemas.openxmlformats.org/officeDocument/2006/relationships/hyperlink" Target="https://optovikufa.ru/product/125675/razem-3-kont-gnezdo-s-provodom-254mm-3pin/" TargetMode="External"/><Relationship Id="rId_hyperlink_6282" Type="http://schemas.openxmlformats.org/officeDocument/2006/relationships/hyperlink" Target="https://optovikufa.ru/product/169857/razem-na-platu-shtyrevoy-odnoryadnyy-shteker-shteker-40-pin-shag-254mm-pryamoy/" TargetMode="External"/><Relationship Id="rId_hyperlink_6283" Type="http://schemas.openxmlformats.org/officeDocument/2006/relationships/hyperlink" Target="https://optovikufa.ru/product/234562/bystrozazhimnoy-pruzhinnyy-zazhim-shteker-dc-55x21mm-20/" TargetMode="External"/><Relationship Id="rId_hyperlink_6284" Type="http://schemas.openxmlformats.org/officeDocument/2006/relationships/hyperlink" Target="https://optovikufa.ru/product/240630/bystrozazhimnoy-pruzhinnyy-zazhim-shteker-rca/" TargetMode="External"/><Relationship Id="rId_hyperlink_6285" Type="http://schemas.openxmlformats.org/officeDocument/2006/relationships/hyperlink" Target="https://optovikufa.ru/product/231367/bystrozazhimnoy-pruzhinnyy-razem-gnezdo-dc-55x21mm/" TargetMode="External"/><Relationship Id="rId_hyperlink_6286" Type="http://schemas.openxmlformats.org/officeDocument/2006/relationships/hyperlink" Target="https://optovikufa.ru/product/237521/razem-klemmnaya-kolodka-gnezdo-dc-21h55/" TargetMode="External"/><Relationship Id="rId_hyperlink_6287" Type="http://schemas.openxmlformats.org/officeDocument/2006/relationships/hyperlink" Target="https://optovikufa.ru/product/233203/razem-klemmnaya-kolodka-gnezdo-dc-21h55/" TargetMode="External"/><Relationship Id="rId_hyperlink_6288" Type="http://schemas.openxmlformats.org/officeDocument/2006/relationships/hyperlink" Target="https://optovikufa.ru/product/232000/razem-klemmnaya-kolodka-gnezdo-rca/" TargetMode="External"/><Relationship Id="rId_hyperlink_6289" Type="http://schemas.openxmlformats.org/officeDocument/2006/relationships/hyperlink" Target="https://optovikufa.ru/product/219139/razem-klemmnaya-kolodka-shteker-rca/" TargetMode="External"/><Relationship Id="rId_hyperlink_6290" Type="http://schemas.openxmlformats.org/officeDocument/2006/relationships/hyperlink" Target="https://optovikufa.ru/product/233186/razem-klemmnaya-kolodka-shteker-rca/" TargetMode="External"/><Relationship Id="rId_hyperlink_6291" Type="http://schemas.openxmlformats.org/officeDocument/2006/relationships/hyperlink" Target="https://optovikufa.ru/product/240301/rezistor-silovoy-1-om-5-25w-v-alyuminievom-korpuse-rx24/" TargetMode="External"/><Relationship Id="rId_hyperlink_6292" Type="http://schemas.openxmlformats.org/officeDocument/2006/relationships/hyperlink" Target="https://optovikufa.ru/product/240305/rezistor-silovoy-1-om-5-50w-v-alyuminievom-korpuse-rx24/" TargetMode="External"/><Relationship Id="rId_hyperlink_6293" Type="http://schemas.openxmlformats.org/officeDocument/2006/relationships/hyperlink" Target="https://optovikufa.ru/product/240300/rezistor-silovoy-10-om-5-25w-v-alyuminievom-korpuse-rx24/" TargetMode="External"/><Relationship Id="rId_hyperlink_6294" Type="http://schemas.openxmlformats.org/officeDocument/2006/relationships/hyperlink" Target="https://optovikufa.ru/product/240303/rezistor-silovoy-10-om-5-50w-v-alyuminievom-korpuse-rx24/" TargetMode="External"/><Relationship Id="rId_hyperlink_6295" Type="http://schemas.openxmlformats.org/officeDocument/2006/relationships/hyperlink" Target="https://optovikufa.ru/product/240884/rezistor-silovoy-27-om-5-50w-v-alyuminievom-korpuse-rx24/" TargetMode="External"/><Relationship Id="rId_hyperlink_6296" Type="http://schemas.openxmlformats.org/officeDocument/2006/relationships/hyperlink" Target="https://optovikufa.ru/product/240885/rezistor-silovoy-33-om-5-50w-v-alyuminievom-korpuse-rx24/" TargetMode="External"/><Relationship Id="rId_hyperlink_6297" Type="http://schemas.openxmlformats.org/officeDocument/2006/relationships/hyperlink" Target="https://optovikufa.ru/product/240306/rezistor-silovoy-6-om-5-50w-v-alyuminievom-korpuse-rx24/" TargetMode="External"/><Relationship Id="rId_hyperlink_6298" Type="http://schemas.openxmlformats.org/officeDocument/2006/relationships/hyperlink" Target="https://optovikufa.ru/product/241443/nasos-pogruzhnoy-mini-vertikalnyy-dc-3-5v-12-16lmin-belyy/" TargetMode="External"/><Relationship Id="rId_hyperlink_6299" Type="http://schemas.openxmlformats.org/officeDocument/2006/relationships/hyperlink" Target="https://optovikufa.ru/product/241444/nasos-pogruzhnoy-mini-vertikalnyy-usb-12-16lmin-belyy/" TargetMode="External"/><Relationship Id="rId_hyperlink_6300" Type="http://schemas.openxmlformats.org/officeDocument/2006/relationships/hyperlink" Target="https://optovikufa.ru/product/241445/nasos-pogruzhnoy-mini-gorizontalnyy-dc-3-5v-12-16lmin-chernyy/" TargetMode="External"/><Relationship Id="rId_hyperlink_6301" Type="http://schemas.openxmlformats.org/officeDocument/2006/relationships/hyperlink" Target="https://optovikufa.ru/product/241446/nasos-pogruzhnoy-mini-gorizontalnyy-usb-12-16lmin-chernyy/" TargetMode="External"/><Relationship Id="rId_hyperlink_6302" Type="http://schemas.openxmlformats.org/officeDocument/2006/relationships/hyperlink" Target="https://optovikufa.ru/product/232092/elektrodvigatel-f130-08450-dc-12v/" TargetMode="External"/><Relationship Id="rId_hyperlink_6303" Type="http://schemas.openxmlformats.org/officeDocument/2006/relationships/hyperlink" Target="https://optovikufa.ru/product/238886/elektrodvigatel-f130-08450-dc-6v/" TargetMode="External"/><Relationship Id="rId_hyperlink_6304" Type="http://schemas.openxmlformats.org/officeDocument/2006/relationships/hyperlink" Target="https://optovikufa.ru/product/238888/elektrodvigatel-f130-13180-dc-5v/" TargetMode="External"/><Relationship Id="rId_hyperlink_6305" Type="http://schemas.openxmlformats.org/officeDocument/2006/relationships/hyperlink" Target="https://optovikufa.ru/product/236385/elektrodvigatel-f130-1995-dc-24v/" TargetMode="External"/><Relationship Id="rId_hyperlink_6306" Type="http://schemas.openxmlformats.org/officeDocument/2006/relationships/hyperlink" Target="https://optovikufa.ru/product/238887/elektrodvigatel-f280-10440-dc-12v/" TargetMode="External"/><Relationship Id="rId_hyperlink_6307" Type="http://schemas.openxmlformats.org/officeDocument/2006/relationships/hyperlink" Target="https://optovikufa.ru/product/232046/elektrodvigatel-f280-23100-dc-9v/" TargetMode="External"/><Relationship Id="rId_hyperlink_6308" Type="http://schemas.openxmlformats.org/officeDocument/2006/relationships/hyperlink" Target="https://optovikufa.ru/product/231976/elektrodvigatel-f280-2580-dc-6v/" TargetMode="External"/><Relationship Id="rId_hyperlink_6309" Type="http://schemas.openxmlformats.org/officeDocument/2006/relationships/hyperlink" Target="https://optovikufa.ru/product/242765/elektrodvigatel-ff130-11340-dc-9v/" TargetMode="External"/><Relationship Id="rId_hyperlink_6310" Type="http://schemas.openxmlformats.org/officeDocument/2006/relationships/hyperlink" Target="https://optovikufa.ru/product/239943/elektrodvigatel-r370-17315-dc-6v/" TargetMode="External"/><Relationship Id="rId_hyperlink_6311" Type="http://schemas.openxmlformats.org/officeDocument/2006/relationships/hyperlink" Target="https://optovikufa.ru/product/239944/elektrodvigatel-r380-09320-dc-24v/" TargetMode="External"/><Relationship Id="rId_hyperlink_6312" Type="http://schemas.openxmlformats.org/officeDocument/2006/relationships/hyperlink" Target="https://optovikufa.ru/product/241614/elektrodvigatel-r540-30130-dc-12v/" TargetMode="External"/><Relationship Id="rId_hyperlink_6313" Type="http://schemas.openxmlformats.org/officeDocument/2006/relationships/hyperlink" Target="https://optovikufa.ru/product/241615/elektrodvigatel-r545-2486-dc-24v/" TargetMode="External"/><Relationship Id="rId_hyperlink_6314" Type="http://schemas.openxmlformats.org/officeDocument/2006/relationships/hyperlink" Target="https://optovikufa.ru/product/227148/ventilyator-vytyazhnoy-osevoy-100mm-zhalyuzi-spark-lux/" TargetMode="External"/><Relationship Id="rId_hyperlink_6315" Type="http://schemas.openxmlformats.org/officeDocument/2006/relationships/hyperlink" Target="https://optovikufa.ru/product/178013/ventilyator-vytyazhnoy-osevoy-100mm-kgh-100-s-vykl-41665/" TargetMode="External"/><Relationship Id="rId_hyperlink_6316" Type="http://schemas.openxmlformats.org/officeDocument/2006/relationships/hyperlink" Target="https://optovikufa.ru/product/230651/ventilyator-vytyazhnoy-osevoy-100mm-metallicheskiy-spark-lux/" TargetMode="External"/><Relationship Id="rId_hyperlink_6317" Type="http://schemas.openxmlformats.org/officeDocument/2006/relationships/hyperlink" Target="https://optovikufa.ru/product/230689/ventilyator-vytyazhnoy-osevoy-100mm-s-dvumya-shnurovymi-tyagovymi-vyklyuchatelyami-kruglyy-spark-lux/" TargetMode="External"/><Relationship Id="rId_hyperlink_6318" Type="http://schemas.openxmlformats.org/officeDocument/2006/relationships/hyperlink" Target="https://optovikufa.ru/product/227149/ventilyator-vytyazhnoy-osevoy-150mm-zhalyuzi-spark-lux/" TargetMode="External"/><Relationship Id="rId_hyperlink_6319" Type="http://schemas.openxmlformats.org/officeDocument/2006/relationships/hyperlink" Target="https://optovikufa.ru/product/236640/ventilyator-vytyazhnoy-osevoy-150mm-dospel/" TargetMode="External"/><Relationship Id="rId_hyperlink_6320" Type="http://schemas.openxmlformats.org/officeDocument/2006/relationships/hyperlink" Target="https://optovikufa.ru/product/178014/ventilyator-vytyazhnoy-osevoy-150mm-kgh-150-s-vykl-41666/" TargetMode="External"/><Relationship Id="rId_hyperlink_6321" Type="http://schemas.openxmlformats.org/officeDocument/2006/relationships/hyperlink" Target="https://optovikufa.ru/product/241208/ventilyator-osevoy-vytyazhnoy-d100mm-auramax-d4/" TargetMode="External"/><Relationship Id="rId_hyperlink_6322" Type="http://schemas.openxmlformats.org/officeDocument/2006/relationships/hyperlink" Target="https://optovikufa.ru/product/241210/ventilyator-osevoy-vytyazhnoy-d100mm-auramax-optima-4/" TargetMode="External"/><Relationship Id="rId_hyperlink_6323" Type="http://schemas.openxmlformats.org/officeDocument/2006/relationships/hyperlink" Target="https://optovikufa.ru/product/241209/ventilyator-osevoy-vytyazhnoy-d125mm-auramax-d5/" TargetMode="External"/><Relationship Id="rId_hyperlink_6324" Type="http://schemas.openxmlformats.org/officeDocument/2006/relationships/hyperlink" Target="https://optovikufa.ru/product/241211/ventilyator-osevoy-vytyazhnoy-d125mm-auramax-optima-5/" TargetMode="External"/><Relationship Id="rId_hyperlink_6325" Type="http://schemas.openxmlformats.org/officeDocument/2006/relationships/hyperlink" Target="https://optovikufa.ru/product/237867/reshetka-ventilyacionnaya-spark-lux-180x250mm/" TargetMode="External"/><Relationship Id="rId_hyperlink_6326" Type="http://schemas.openxmlformats.org/officeDocument/2006/relationships/hyperlink" Target="https://optovikufa.ru/product/240368/reshetka-ventilyacionnaya-spark-lux-300x300mm/" TargetMode="External"/><Relationship Id="rId_hyperlink_6327" Type="http://schemas.openxmlformats.org/officeDocument/2006/relationships/hyperlink" Target="https://optovikufa.ru/product/137718/vilka-bez-zazemleniya-belaya-makel-10001-turciya/" TargetMode="External"/><Relationship Id="rId_hyperlink_6328" Type="http://schemas.openxmlformats.org/officeDocument/2006/relationships/hyperlink" Target="https://optovikufa.ru/product/137719/vilka-bez-zazemleniya-chernaya-makel-10051/" TargetMode="External"/><Relationship Id="rId_hyperlink_6329" Type="http://schemas.openxmlformats.org/officeDocument/2006/relationships/hyperlink" Target="https://optovikufa.ru/product/149763/vilka-v6-001-belaya-6a-s-kembrikom/" TargetMode="External"/><Relationship Id="rId_hyperlink_6330" Type="http://schemas.openxmlformats.org/officeDocument/2006/relationships/hyperlink" Target="https://optovikufa.ru/product/149764/vilka-v6-004-belaya-6a/" TargetMode="External"/><Relationship Id="rId_hyperlink_6331" Type="http://schemas.openxmlformats.org/officeDocument/2006/relationships/hyperlink" Target="https://optovikufa.ru/product/242370/vilka-v6-005-belaya-6a-s-kembrikom/" TargetMode="External"/><Relationship Id="rId_hyperlink_6332" Type="http://schemas.openxmlformats.org/officeDocument/2006/relationships/hyperlink" Target="https://optovikufa.ru/product/166603/vilka-evro-sz-s-hvostom-vellkont-belaya/" TargetMode="External"/><Relationship Id="rId_hyperlink_6333" Type="http://schemas.openxmlformats.org/officeDocument/2006/relationships/hyperlink" Target="https://optovikufa.ru/product/131426/vilka-s-zazemleniem-pryamaya-16a-belaya-250v-smartbuy-sbe-16-p01-w/" TargetMode="External"/><Relationship Id="rId_hyperlink_6334" Type="http://schemas.openxmlformats.org/officeDocument/2006/relationships/hyperlink" Target="https://optovikufa.ru/product/191343/vilka-s-zazemleniem-pryamaya-16a-belaya-makel-10002/" TargetMode="External"/><Relationship Id="rId_hyperlink_6335" Type="http://schemas.openxmlformats.org/officeDocument/2006/relationships/hyperlink" Target="https://optovikufa.ru/product/148880/vilka-s-zazemleniem-pryamaya-16a-chernaya-250v-smartbuy-sbe-16-p01-b/" TargetMode="External"/><Relationship Id="rId_hyperlink_6336" Type="http://schemas.openxmlformats.org/officeDocument/2006/relationships/hyperlink" Target="https://optovikufa.ru/product/191344/vilka-s-zazemleniem-pryamaya-16a-chernaya-makel-10052/" TargetMode="External"/><Relationship Id="rId_hyperlink_6337" Type="http://schemas.openxmlformats.org/officeDocument/2006/relationships/hyperlink" Target="https://optovikufa.ru/product/165237/vilka-s-zazemleniem-uglovaya-16a-belaya-makel-10027-turciya/" TargetMode="External"/><Relationship Id="rId_hyperlink_6338" Type="http://schemas.openxmlformats.org/officeDocument/2006/relationships/hyperlink" Target="https://optovikufa.ru/product/149766/vilka-s-zazemleniem-uglovaya-16a-s-kembrikom-belaya-v16-001/" TargetMode="External"/><Relationship Id="rId_hyperlink_6339" Type="http://schemas.openxmlformats.org/officeDocument/2006/relationships/hyperlink" Target="https://optovikufa.ru/product/224822/vilka-s-zazemleniem-uglovaya-16a-s-kolcom-250v-belaya-smartbuy-sbe-16-p03-w/" TargetMode="External"/><Relationship Id="rId_hyperlink_6340" Type="http://schemas.openxmlformats.org/officeDocument/2006/relationships/hyperlink" Target="https://optovikufa.ru/product/145885/vilka-s-zazemleniem-uglovaya-16a-s-kolcom-250v-chernaya-smartbuy-sbe-16-p03-b/" TargetMode="External"/><Relationship Id="rId_hyperlink_6341" Type="http://schemas.openxmlformats.org/officeDocument/2006/relationships/hyperlink" Target="https://optovikufa.ru/product/145886/vilka-s-zazemleniem-uglovaya-16a-chernaya-smartbuy-sbe-16-p02-b/" TargetMode="External"/><Relationship Id="rId_hyperlink_6342" Type="http://schemas.openxmlformats.org/officeDocument/2006/relationships/hyperlink" Target="https://optovikufa.ru/product/232792/vilka-elektricheskaya-bez-zazemleniya-karbolit-tuna-16a/" TargetMode="External"/><Relationship Id="rId_hyperlink_6343" Type="http://schemas.openxmlformats.org/officeDocument/2006/relationships/hyperlink" Target="https://optovikufa.ru/product/232795/vilka-elektricheskaya-s-zazemleniem-uglovaya-tuna-16a/" TargetMode="External"/><Relationship Id="rId_hyperlink_6344" Type="http://schemas.openxmlformats.org/officeDocument/2006/relationships/hyperlink" Target="https://optovikufa.ru/product/166604/vilka-nevidimka-universal-sz16a-belaya-kitay/" TargetMode="External"/><Relationship Id="rId_hyperlink_6345" Type="http://schemas.openxmlformats.org/officeDocument/2006/relationships/hyperlink" Target="https://optovikufa.ru/product/166605/vilka-nevidimka-universal-sz16a-chernaya-kitay-5565419/" TargetMode="External"/><Relationship Id="rId_hyperlink_6346" Type="http://schemas.openxmlformats.org/officeDocument/2006/relationships/hyperlink" Target="https://optovikufa.ru/product/225459/gnezdo-shtepselnoe-smartbuy-s-zazemleniem-belyy-10a-250v-sbe-16-s01-wz/" TargetMode="External"/><Relationship Id="rId_hyperlink_6347" Type="http://schemas.openxmlformats.org/officeDocument/2006/relationships/hyperlink" Target="https://optovikufa.ru/product/234113/shtepselnaya-vilka-s-vyklyuchatelem-i-zazemleniem-far-f131-16a/" TargetMode="External"/><Relationship Id="rId_hyperlink_6348" Type="http://schemas.openxmlformats.org/officeDocument/2006/relationships/hyperlink" Target="https://optovikufa.ru/product/137751/shtepselnaya-rozetka-bez-zazemleniya-belaya-makel-10004/" TargetMode="External"/><Relationship Id="rId_hyperlink_6349" Type="http://schemas.openxmlformats.org/officeDocument/2006/relationships/hyperlink" Target="https://optovikufa.ru/product/191352/shtepselnaya-rozetka-bez-zazemleniya-chernyy-makel-10054/" TargetMode="External"/><Relationship Id="rId_hyperlink_6350" Type="http://schemas.openxmlformats.org/officeDocument/2006/relationships/hyperlink" Target="https://optovikufa.ru/product/151587/shtepselnaya-rozetka-pod-ploskuyu-vilku-beloe-6a-250v-smartbuy-sbe-25-s06-w/" TargetMode="External"/><Relationship Id="rId_hyperlink_6351" Type="http://schemas.openxmlformats.org/officeDocument/2006/relationships/hyperlink" Target="https://optovikufa.ru/product/137750/shtepselnaya-rozetka-s-zazemleniem-belaya-makel-10003/" TargetMode="External"/><Relationship Id="rId_hyperlink_6352" Type="http://schemas.openxmlformats.org/officeDocument/2006/relationships/hyperlink" Target="https://optovikufa.ru/product/191353/shtepselnaya-rozetka-s-zazemleniem-chernyy-makel-10053/" TargetMode="External"/><Relationship Id="rId_hyperlink_6353" Type="http://schemas.openxmlformats.org/officeDocument/2006/relationships/hyperlink" Target="https://optovikufa.ru/product/242662/vyklyuchatel-dlya-bra-10a-220-250v-belyy/" TargetMode="External"/><Relationship Id="rId_hyperlink_6354" Type="http://schemas.openxmlformats.org/officeDocument/2006/relationships/hyperlink" Target="https://optovikufa.ru/product/235718/vyklyuchatel-dlya-bra-6a-220-250v-chernyy/" TargetMode="External"/><Relationship Id="rId_hyperlink_6355" Type="http://schemas.openxmlformats.org/officeDocument/2006/relationships/hyperlink" Target="https://optovikufa.ru/product/238080/vyklyuchatel-dlya-bra-s-cepochkoy-15sm-zoloto-5/" TargetMode="External"/><Relationship Id="rId_hyperlink_6356" Type="http://schemas.openxmlformats.org/officeDocument/2006/relationships/hyperlink" Target="https://optovikufa.ru/product/238081/vyklyuchatel-dlya-bra-s-cepochkoy-15sm-hrom-5/" TargetMode="External"/><Relationship Id="rId_hyperlink_6357" Type="http://schemas.openxmlformats.org/officeDocument/2006/relationships/hyperlink" Target="https://optovikufa.ru/product/137728/vyklyuchatel-dlya-bra-belyy-makel-10014/" TargetMode="External"/><Relationship Id="rId_hyperlink_6358" Type="http://schemas.openxmlformats.org/officeDocument/2006/relationships/hyperlink" Target="https://optovikufa.ru/product/137729/vyklyuchatel-dlya-bra-belyykrasnyy-makel-10080/" TargetMode="External"/><Relationship Id="rId_hyperlink_6359" Type="http://schemas.openxmlformats.org/officeDocument/2006/relationships/hyperlink" Target="https://optovikufa.ru/product/137730/vyklyuchatel-dlya-bra-chernyy-makel-10064/" TargetMode="External"/><Relationship Id="rId_hyperlink_6360" Type="http://schemas.openxmlformats.org/officeDocument/2006/relationships/hyperlink" Target="https://optovikufa.ru/product/241911/vyklyuchatel-na-shnur-6a-220-250v-belyy-/" TargetMode="External"/><Relationship Id="rId_hyperlink_6361" Type="http://schemas.openxmlformats.org/officeDocument/2006/relationships/hyperlink" Target="https://optovikufa.ru/product/234112/vyklyuchatel-na-shnur-belyy-15-014/" TargetMode="External"/><Relationship Id="rId_hyperlink_6362" Type="http://schemas.openxmlformats.org/officeDocument/2006/relationships/hyperlink" Target="https://optovikufa.ru/product/235625/vyklyuchatel-na-shnur-chernyy-15-016/" TargetMode="External"/><Relationship Id="rId_hyperlink_6363" Type="http://schemas.openxmlformats.org/officeDocument/2006/relationships/hyperlink" Target="https://optovikufa.ru/product/152281/regulyator-sveta-dimmer-na-shnur-belyy-dav-102-1/" TargetMode="External"/><Relationship Id="rId_hyperlink_6364" Type="http://schemas.openxmlformats.org/officeDocument/2006/relationships/hyperlink" Target="https://optovikufa.ru/product/241744/regulyator-sveta-dimmer-na-shnur-chernyy-dav-101-1/" TargetMode="External"/><Relationship Id="rId_hyperlink_6365" Type="http://schemas.openxmlformats.org/officeDocument/2006/relationships/hyperlink" Target="https://optovikufa.ru/product/237284/blok-rozetkavyklyuchatel-odnoklavishnyy-ou-sz-belyy-ip54-allegrouniversal/" TargetMode="External"/><Relationship Id="rId_hyperlink_6366" Type="http://schemas.openxmlformats.org/officeDocument/2006/relationships/hyperlink" Target="https://optovikufa.ru/product/233546/vyklyuchatel-1-klavishnyy-10a-ip54-keramika-mars-sbe-02w-10-sw1-0-s/" TargetMode="External"/><Relationship Id="rId_hyperlink_6367" Type="http://schemas.openxmlformats.org/officeDocument/2006/relationships/hyperlink" Target="https://optovikufa.ru/product/231730/vyklyuchatel-1-klavishnyy-10a-ip54-mars-sbe-02w-10-sw1-0/" TargetMode="External"/><Relationship Id="rId_hyperlink_6368" Type="http://schemas.openxmlformats.org/officeDocument/2006/relationships/hyperlink" Target="https://optovikufa.ru/product/228752/vyklyuchatel-1-klavishnyy-10a-ip54-yupiter-sbe-03w-10-sw1-0/" TargetMode="External"/><Relationship Id="rId_hyperlink_6369" Type="http://schemas.openxmlformats.org/officeDocument/2006/relationships/hyperlink" Target="https://optovikufa.ru/product/237033/vyklyuchatel-1-klavishnyy-s-indikatorom-10a-ip54-belyy-yupiter-sbe-03w-10-sw1-1/" TargetMode="External"/><Relationship Id="rId_hyperlink_6370" Type="http://schemas.openxmlformats.org/officeDocument/2006/relationships/hyperlink" Target="https://optovikufa.ru/product/236035/vyklyuchatel-1-klavishnyy-s-indikatorom-10a-ip54-mars-sbe-02w-10-sw1-1/" TargetMode="External"/><Relationship Id="rId_hyperlink_6371" Type="http://schemas.openxmlformats.org/officeDocument/2006/relationships/hyperlink" Target="https://optovikufa.ru/product/238137/vyklyuchatel-2-klavishnyy-10a-ip54-keramika-mars-sbe-02w-10-sw2-0-s/" TargetMode="External"/><Relationship Id="rId_hyperlink_6372" Type="http://schemas.openxmlformats.org/officeDocument/2006/relationships/hyperlink" Target="https://optovikufa.ru/product/228753/vyklyuchatel-2-klavishnyy-10a-ip54-yupiter-sbe-03w-10-sw2-0/" TargetMode="External"/><Relationship Id="rId_hyperlink_6373" Type="http://schemas.openxmlformats.org/officeDocument/2006/relationships/hyperlink" Target="https://optovikufa.ru/product/137725/vyklyuchatel-dvuhklavishnyy-ou-belyy-10a-makel-siva-ustu-45103-turciya/" TargetMode="External"/><Relationship Id="rId_hyperlink_6374" Type="http://schemas.openxmlformats.org/officeDocument/2006/relationships/hyperlink" Target="https://optovikufa.ru/product/145855/vyklyuchatel-dvuhklavishnyy-ou-belyy-10a-schneider-blanca-rossiya-105011/" TargetMode="External"/><Relationship Id="rId_hyperlink_6375" Type="http://schemas.openxmlformats.org/officeDocument/2006/relationships/hyperlink" Target="https://optovikufa.ru/product/230789/vyklyuchatel-dvuhklavishnyy-su-alyum-10a-schneider-atlasdesign-atn000351/" TargetMode="External"/><Relationship Id="rId_hyperlink_6376" Type="http://schemas.openxmlformats.org/officeDocument/2006/relationships/hyperlink" Target="https://optovikufa.ru/product/230790/vyklyuchatel-dvuhklavishnyy-su-belyy-10a-schneider-atlasdesign-atn000151/" TargetMode="External"/><Relationship Id="rId_hyperlink_6377" Type="http://schemas.openxmlformats.org/officeDocument/2006/relationships/hyperlink" Target="https://optovikufa.ru/product/145856/vyklyuchatel-dvuhklavishnyy-su-belyy-10a-schneider-blanca-rossiya-010501/" TargetMode="External"/><Relationship Id="rId_hyperlink_6378" Type="http://schemas.openxmlformats.org/officeDocument/2006/relationships/hyperlink" Target="https://optovikufa.ru/product/174983/vyklyuchatel-dvuhklavishnyy-su-belyybelyy-10a-makel-mimoza12003-turciya/" TargetMode="External"/><Relationship Id="rId_hyperlink_6379" Type="http://schemas.openxmlformats.org/officeDocument/2006/relationships/hyperlink" Target="https://optovikufa.ru/product/145853/vyklyuchatel-odnoklavishnyy-ou-belyy-10a-schneider-blanca-rossiya-101011/" TargetMode="External"/><Relationship Id="rId_hyperlink_6380" Type="http://schemas.openxmlformats.org/officeDocument/2006/relationships/hyperlink" Target="https://optovikufa.ru/product/141256/vyklyuchatel-odnoklavishnyy-ou-belyy-10a-prohodnoy-makel-siva-ustu-45105-turciya/" TargetMode="External"/><Relationship Id="rId_hyperlink_6381" Type="http://schemas.openxmlformats.org/officeDocument/2006/relationships/hyperlink" Target="https://optovikufa.ru/product/237286/vyklyuchatel-odnoklavishnyy-ou-belyy-ip54-10a-allegro-universal/" TargetMode="External"/><Relationship Id="rId_hyperlink_6382" Type="http://schemas.openxmlformats.org/officeDocument/2006/relationships/hyperlink" Target="https://optovikufa.ru/product/191346/vyklyuchatel-odnoklavishnyy-su-belyy-10a-prohodnoy-makel-mimoza-120052005-turciya/" TargetMode="External"/><Relationship Id="rId_hyperlink_6383" Type="http://schemas.openxmlformats.org/officeDocument/2006/relationships/hyperlink" Target="https://optovikufa.ru/product/137741/vyklyuchatel-odnoklavishnyy-su-belyy-10a-s-podsvetkoy-makel-mimoza-12021turciya/" TargetMode="External"/><Relationship Id="rId_hyperlink_6384" Type="http://schemas.openxmlformats.org/officeDocument/2006/relationships/hyperlink" Target="https://optovikufa.ru/product/230787/vyklyuchatel-odnoklavishnyy-su-belyy-10a-schneider-atlasdesign-atn000111/" TargetMode="External"/><Relationship Id="rId_hyperlink_6385" Type="http://schemas.openxmlformats.org/officeDocument/2006/relationships/hyperlink" Target="https://optovikufa.ru/product/145854/vyklyuchatel-odnoklavishnyy-su-belyy-10a-schneider-blanca-rossiya-010101/" TargetMode="External"/><Relationship Id="rId_hyperlink_6386" Type="http://schemas.openxmlformats.org/officeDocument/2006/relationships/hyperlink" Target="https://optovikufa.ru/product/174981/vyklyuchatel-odnoklavishnyy-su-belyybelyy-10a-makel-mimoza-12001-turciya/" TargetMode="External"/><Relationship Id="rId_hyperlink_6387" Type="http://schemas.openxmlformats.org/officeDocument/2006/relationships/hyperlink" Target="https://optovikufa.ru/product/236037/vyklyuchatel-prohodnoy-1-klavishnyy-10a-ip54-mars-sbe-02w-10-sw12-0/" TargetMode="External"/><Relationship Id="rId_hyperlink_6388" Type="http://schemas.openxmlformats.org/officeDocument/2006/relationships/hyperlink" Target="https://optovikufa.ru/product/238147/ramka-2-mestnaya-gorizontalnaya-bezhevaya-mars-sbe-02i-00-fr-2/" TargetMode="External"/><Relationship Id="rId_hyperlink_6389" Type="http://schemas.openxmlformats.org/officeDocument/2006/relationships/hyperlink" Target="https://optovikufa.ru/product/236038/ramka-2-mestnaya-gorizontalnaya-belaya-mars-sbe-02w-00-fr-2/" TargetMode="External"/><Relationship Id="rId_hyperlink_6390" Type="http://schemas.openxmlformats.org/officeDocument/2006/relationships/hyperlink" Target="https://optovikufa.ru/product/238148/ramka-3-mestnaya-gorizontalnaya-bezhevaya-mars-sbe-02i-00-fr-3/" TargetMode="External"/><Relationship Id="rId_hyperlink_6391" Type="http://schemas.openxmlformats.org/officeDocument/2006/relationships/hyperlink" Target="https://optovikufa.ru/product/238149/ramka-4-mestnaya-gorizontalnaya-bezhevaya-mars-sbe-02i-00-fr-4/" TargetMode="External"/><Relationship Id="rId_hyperlink_6392" Type="http://schemas.openxmlformats.org/officeDocument/2006/relationships/hyperlink" Target="https://optovikufa.ru/product/176521/ramka-dvuhmestnaya-vertikalnaya-belaya-makel-mimoza-22032-turciya/" TargetMode="External"/><Relationship Id="rId_hyperlink_6393" Type="http://schemas.openxmlformats.org/officeDocument/2006/relationships/hyperlink" Target="https://optovikufa.ru/product/230798/ramka-odnomestnaya-su-alyum-schneider-atlasdesign-atn000301/" TargetMode="External"/><Relationship Id="rId_hyperlink_6394" Type="http://schemas.openxmlformats.org/officeDocument/2006/relationships/hyperlink" Target="https://optovikufa.ru/product/230799/ramka-odnomestnaya-su-belyy-schneider-atlasdesign-atn000101/" TargetMode="External"/><Relationship Id="rId_hyperlink_6395" Type="http://schemas.openxmlformats.org/officeDocument/2006/relationships/hyperlink" Target="https://optovikufa.ru/product/230800/ramka-odnomestnaya-su-grifel-schneider-atlasdesign-atn000701/" TargetMode="External"/><Relationship Id="rId_hyperlink_6396" Type="http://schemas.openxmlformats.org/officeDocument/2006/relationships/hyperlink" Target="https://optovikufa.ru/product/230805/ramka-trehmestnaya-universalnaya-su-belyy-schneider-atlasdesign-atn000103/" TargetMode="External"/><Relationship Id="rId_hyperlink_6397" Type="http://schemas.openxmlformats.org/officeDocument/2006/relationships/hyperlink" Target="https://optovikufa.ru/product/131562/ramka-trehmestnaya-vertikalnaya-belaya-makel-mimoza-22033-turciya/" TargetMode="External"/><Relationship Id="rId_hyperlink_6398" Type="http://schemas.openxmlformats.org/officeDocument/2006/relationships/hyperlink" Target="https://optovikufa.ru/product/227042/rozetka-dvumestnaya-bez-zazemleniya-10a-belaya-yupiter-keramika-smartbuy-sbe-03w-10-s2-n-c/" TargetMode="External"/><Relationship Id="rId_hyperlink_6399" Type="http://schemas.openxmlformats.org/officeDocument/2006/relationships/hyperlink" Target="https://optovikufa.ru/product/224227/rozetka-dvumestnaya-bez-zazemleniya-10a-belaya-keramika-mars-smartbuy-sbe-02w-10-s2-n-c/" TargetMode="External"/><Relationship Id="rId_hyperlink_6400" Type="http://schemas.openxmlformats.org/officeDocument/2006/relationships/hyperlink" Target="https://optovikufa.ru/product/228347/rozetka-dvumestnaya-s-zazemleniem-16a-belaya-yupiter-smartbuy-sbe-03w-16-s2-z/" TargetMode="External"/><Relationship Id="rId_hyperlink_6401" Type="http://schemas.openxmlformats.org/officeDocument/2006/relationships/hyperlink" Target="https://optovikufa.ru/product/230022/rozetka-dvumestnaya-s-zazemleniem-16a-belaya-yupiter-keramika-smartbuy-sbe-03w-16-s2-z-c/" TargetMode="External"/><Relationship Id="rId_hyperlink_6402" Type="http://schemas.openxmlformats.org/officeDocument/2006/relationships/hyperlink" Target="https://optovikufa.ru/product/233548/rozetka-dvumestnaya-s-zazemleniem-16a-belaya-keramika-mars-smartbuy-sbe-02w-16-s2-z-c/" TargetMode="External"/><Relationship Id="rId_hyperlink_6403" Type="http://schemas.openxmlformats.org/officeDocument/2006/relationships/hyperlink" Target="https://optovikufa.ru/product/137744/rozetka-dvuhmestnaya-ou-bz-belaya-16a-makel-siva-ustu-45117-turciya/" TargetMode="External"/><Relationship Id="rId_hyperlink_6404" Type="http://schemas.openxmlformats.org/officeDocument/2006/relationships/hyperlink" Target="https://optovikufa.ru/product/145861/rozetka-dvuhmestnaya-ou-bz-belyy-16a-schneider-blanca-rossiya-000211/" TargetMode="External"/><Relationship Id="rId_hyperlink_6405" Type="http://schemas.openxmlformats.org/officeDocument/2006/relationships/hyperlink" Target="https://optovikufa.ru/product/147582/rozetka-dvuhmestnaya-ou-bz-belyy-ra16-260-bylectrica-praleska-belarus/" TargetMode="External"/><Relationship Id="rId_hyperlink_6406" Type="http://schemas.openxmlformats.org/officeDocument/2006/relationships/hyperlink" Target="https://optovikufa.ru/product/137745/rozetka-dvuhmestnaya-ou-sz-belaya-16a-makel-siva-ustu-45182-turciya/" TargetMode="External"/><Relationship Id="rId_hyperlink_6407" Type="http://schemas.openxmlformats.org/officeDocument/2006/relationships/hyperlink" Target="https://optovikufa.ru/product/224653/rozetka-dvuhmestnaya-ou-sz-belaya-ra16-261-bylectrica-praleska-belarus/" TargetMode="External"/><Relationship Id="rId_hyperlink_6408" Type="http://schemas.openxmlformats.org/officeDocument/2006/relationships/hyperlink" Target="https://optovikufa.ru/product/145862/rozetka-dvuhmestnaya-ou-sz-belyy-16a-schneider-blanca-rossiya-010211/" TargetMode="External"/><Relationship Id="rId_hyperlink_6409" Type="http://schemas.openxmlformats.org/officeDocument/2006/relationships/hyperlink" Target="https://optovikufa.ru/product/141259/rozetka-dvuhmestnaya-su-bz-belaya-16a-makel-mimoza-12017-turciya/" TargetMode="External"/><Relationship Id="rId_hyperlink_6410" Type="http://schemas.openxmlformats.org/officeDocument/2006/relationships/hyperlink" Target="https://optovikufa.ru/product/145863/rozetka-dvuhmestnaya-su-bz-belyy-16a-schneider-blanca-rossiya-000021/" TargetMode="External"/><Relationship Id="rId_hyperlink_6411" Type="http://schemas.openxmlformats.org/officeDocument/2006/relationships/hyperlink" Target="https://optovikufa.ru/product/174985/rozetka-dvuhmestnaya-su-sz-belayabelaya-16a-makel-mimoza-12082-turciya/" TargetMode="External"/><Relationship Id="rId_hyperlink_6412" Type="http://schemas.openxmlformats.org/officeDocument/2006/relationships/hyperlink" Target="https://optovikufa.ru/product/145864/rozetka-dvuhmestnaya-su-sz-belyy-16a-schneider-blanca-rossiya-001021/" TargetMode="External"/><Relationship Id="rId_hyperlink_6413" Type="http://schemas.openxmlformats.org/officeDocument/2006/relationships/hyperlink" Target="https://optovikufa.ru/product/236041/rozetka-kompyuter-telefon-rj-45-odnomestnaya-16a-belaya-mars-sbe-02w-s1-rjph/" TargetMode="External"/><Relationship Id="rId_hyperlink_6414" Type="http://schemas.openxmlformats.org/officeDocument/2006/relationships/hyperlink" Target="https://optovikufa.ru/product/238145/rozetka-kompyuternaya-rj-45-odnomestnaya-bezhevaya-mars-sbe-02i-s1-rj/" TargetMode="External"/><Relationship Id="rId_hyperlink_6415" Type="http://schemas.openxmlformats.org/officeDocument/2006/relationships/hyperlink" Target="https://optovikufa.ru/product/238126/rozetka-kompyuternaya-rj-45-odnomestnaya-belaya-mars-sbe-02w-s1-rj/" TargetMode="External"/><Relationship Id="rId_hyperlink_6416" Type="http://schemas.openxmlformats.org/officeDocument/2006/relationships/hyperlink" Target="https://optovikufa.ru/product/233237/rozetka-kompyuternaya-su-rj45-belyy-kat-5e-schneider-blanca-rossiya-blnis045001/" TargetMode="External"/><Relationship Id="rId_hyperlink_6417" Type="http://schemas.openxmlformats.org/officeDocument/2006/relationships/hyperlink" Target="https://optovikufa.ru/product/238141/rozetka-odnomestnaya-bez-zazemleniya-10a-bezhevayamars-keramika-smartbuy-sbe-02i-10-s1-n-c/" TargetMode="External"/><Relationship Id="rId_hyperlink_6418" Type="http://schemas.openxmlformats.org/officeDocument/2006/relationships/hyperlink" Target="https://optovikufa.ru/product/231732/rozetka-odnomestnaya-bez-zazemleniya-10a-belaya-mars-smartbuy-sbe-02w-10-s1-n/" TargetMode="External"/><Relationship Id="rId_hyperlink_6419" Type="http://schemas.openxmlformats.org/officeDocument/2006/relationships/hyperlink" Target="https://optovikufa.ru/product/233547/rozetka-odnomestnaya-bez-zazemleniya-10a-belaya-mars-keramika-smartbuy-sbe-02w-10-s1-n-c/" TargetMode="External"/><Relationship Id="rId_hyperlink_6420" Type="http://schemas.openxmlformats.org/officeDocument/2006/relationships/hyperlink" Target="https://optovikufa.ru/product/227041/rozetka-odnomestnaya-bez-zazemleniya-10a-belaya-yupiter-keramika-smartbuy-sbe-03w-10-s1-n-c/" TargetMode="External"/><Relationship Id="rId_hyperlink_6421" Type="http://schemas.openxmlformats.org/officeDocument/2006/relationships/hyperlink" Target="https://optovikufa.ru/product/137742/rozetka-odnomestnaya-ou-bz-belaya-16a-makel-siva-ustu-45102-turciya/" TargetMode="External"/><Relationship Id="rId_hyperlink_6422" Type="http://schemas.openxmlformats.org/officeDocument/2006/relationships/hyperlink" Target="https://optovikufa.ru/product/224655/rozetka-odnomestnaya-ou-bz-belyy-ra16-255-bylectrica-praleska-belarus/" TargetMode="External"/><Relationship Id="rId_hyperlink_6423" Type="http://schemas.openxmlformats.org/officeDocument/2006/relationships/hyperlink" Target="https://optovikufa.ru/product/137746/rozetka-odnomestnaya-ou-sz-belaya-16a-makel-siva-ustu-45108-turciya/" TargetMode="External"/><Relationship Id="rId_hyperlink_6424" Type="http://schemas.openxmlformats.org/officeDocument/2006/relationships/hyperlink" Target="https://optovikufa.ru/product/145870/rozetka-odnomestnaya-ou-sz-belyy-16a-schneider-blanca-rossiya-010111/" TargetMode="External"/><Relationship Id="rId_hyperlink_6425" Type="http://schemas.openxmlformats.org/officeDocument/2006/relationships/hyperlink" Target="https://optovikufa.ru/product/237123/rozetka-odnomestnaya-ou-sz-belyy-bez-shtorki-16a-schneider-blanca-rossiya-010101/" TargetMode="External"/><Relationship Id="rId_hyperlink_6426" Type="http://schemas.openxmlformats.org/officeDocument/2006/relationships/hyperlink" Target="https://optovikufa.ru/product/165037/rozetka-odnomestnaya-ou-sz-belyy-ra16-254-bylectrica-praleska-belarus/" TargetMode="External"/><Relationship Id="rId_hyperlink_6427" Type="http://schemas.openxmlformats.org/officeDocument/2006/relationships/hyperlink" Target="https://optovikufa.ru/product/224650/rozetka-odnomestnaya-ou-sz-belyy-s-kryshkoy-ra16-297-bylectrica-praleska-belarus/" TargetMode="External"/><Relationship Id="rId_hyperlink_6428" Type="http://schemas.openxmlformats.org/officeDocument/2006/relationships/hyperlink" Target="https://optovikufa.ru/product/237112/rozetka-odnomestnaya-s-zazemleniem-16a-belaya-s-zaschitnymi-shtorkami-yupiter-sbe-03w-16-s1-1z/" TargetMode="External"/><Relationship Id="rId_hyperlink_6429" Type="http://schemas.openxmlformats.org/officeDocument/2006/relationships/hyperlink" Target="https://optovikufa.ru/product/236044/rozetka-odnomestnaya-s-zazemleniem-16a-belaya-mars-smartbuy-sbe-02w-16-s1-1z/" TargetMode="External"/><Relationship Id="rId_hyperlink_6430" Type="http://schemas.openxmlformats.org/officeDocument/2006/relationships/hyperlink" Target="https://optovikufa.ru/product/233379/rozetka-odnomestnaya-s-zazemleniem-16a-belaya-mars-keramika-smartbuy-sbe-02w-16-s1-z-c/" TargetMode="External"/><Relationship Id="rId_hyperlink_6431" Type="http://schemas.openxmlformats.org/officeDocument/2006/relationships/hyperlink" Target="https://optovikufa.ru/product/224228/rozetka-odnomestnaya-s-zazemleniem-16a-belaya-yupiter-keramika-smartbuy-sbe-03w-16-s1-z-c/" TargetMode="External"/><Relationship Id="rId_hyperlink_6432" Type="http://schemas.openxmlformats.org/officeDocument/2006/relationships/hyperlink" Target="https://optovikufa.ru/product/191347/rozetka-odnomestnaya-su-bz-belaya-16a-makel-mimoza-12002-turciya/" TargetMode="External"/><Relationship Id="rId_hyperlink_6433" Type="http://schemas.openxmlformats.org/officeDocument/2006/relationships/hyperlink" Target="https://optovikufa.ru/product/230793/rozetka-odnomestnaya-su-bz-belyy-16a-schneider-atlasdesign-atn000141/" TargetMode="External"/><Relationship Id="rId_hyperlink_6434" Type="http://schemas.openxmlformats.org/officeDocument/2006/relationships/hyperlink" Target="https://optovikufa.ru/product/145871/rozetka-odnomestnaya-su-bz-belyy-16a-schneider-blanca-rossiya-000011/" TargetMode="External"/><Relationship Id="rId_hyperlink_6435" Type="http://schemas.openxmlformats.org/officeDocument/2006/relationships/hyperlink" Target="https://optovikufa.ru/product/191349/rozetka-odnomestnaya-su-sz-belayabelaya-16a-makel-mimoza-12008turciya/" TargetMode="External"/><Relationship Id="rId_hyperlink_6436" Type="http://schemas.openxmlformats.org/officeDocument/2006/relationships/hyperlink" Target="https://optovikufa.ru/product/145872/rozetka-odnomestnaya-su-sz-belyy-16a-schneider-blanca-rossiya-001011/" TargetMode="External"/><Relationship Id="rId_hyperlink_6437" Type="http://schemas.openxmlformats.org/officeDocument/2006/relationships/hyperlink" Target="https://optovikufa.ru/product/238146/rozetka-odnomestnaya-televizionnaya-75om-5-862mgc-bezhevaya-mars-smartbuy-sbe-02i-s1-tv/" TargetMode="External"/><Relationship Id="rId_hyperlink_6438" Type="http://schemas.openxmlformats.org/officeDocument/2006/relationships/hyperlink" Target="https://optovikufa.ru/product/233549/rozetka-odnomestnaya-televizionnaya-75om-5-862mgc-belaya-mars-smartbuy-sbe-02w-s1-tv/" TargetMode="External"/><Relationship Id="rId_hyperlink_6439" Type="http://schemas.openxmlformats.org/officeDocument/2006/relationships/hyperlink" Target="https://optovikufa.ru/product/137739/rozetka-su-tv-belaya-makel-mimoza-12007-turciya/" TargetMode="External"/><Relationship Id="rId_hyperlink_6440" Type="http://schemas.openxmlformats.org/officeDocument/2006/relationships/hyperlink" Target="https://optovikufa.ru/product/228349/rozetka-televizionnaya-75om-5-862mgc-rj-45-belaya-yupiter-sbe-03w-s1-tv/" TargetMode="External"/><Relationship Id="rId_hyperlink_6441" Type="http://schemas.openxmlformats.org/officeDocument/2006/relationships/hyperlink" Target="https://optovikufa.ru/product/228734/rozetka-trehmestnaya-bez-zazemleniem-10a-belaya-yupiter-smartbuy-sbe-03w-10-s3-n/" TargetMode="External"/><Relationship Id="rId_hyperlink_6442" Type="http://schemas.openxmlformats.org/officeDocument/2006/relationships/hyperlink" Target="https://optovikufa.ru/product/145866/rozetka-trehmestnaya-ou-sz-belyy-16a-schneider-blanca-rossiya-010311/" TargetMode="External"/><Relationship Id="rId_hyperlink_6443" Type="http://schemas.openxmlformats.org/officeDocument/2006/relationships/hyperlink" Target="https://optovikufa.ru/product/166631/rozetka-trehmestnaya-ou-sz-belyy-ra16-265-bylectrica-praleska-belarus/" TargetMode="External"/><Relationship Id="rId_hyperlink_6444" Type="http://schemas.openxmlformats.org/officeDocument/2006/relationships/hyperlink" Target="https://optovikufa.ru/product/228735/rozetka-trehmestnaya-s-zazemleniem-16a-belaya-yupiter-smartbuy-sbe-03w-16-s3-z/" TargetMode="External"/><Relationship Id="rId_hyperlink_6445" Type="http://schemas.openxmlformats.org/officeDocument/2006/relationships/hyperlink" Target="https://optovikufa.ru/product/145867/rozetka-chetyrehmestnaya-ou-bz-belyy-16a-schneider-blanca-rossiya-000411/" TargetMode="External"/><Relationship Id="rId_hyperlink_6446" Type="http://schemas.openxmlformats.org/officeDocument/2006/relationships/hyperlink" Target="https://optovikufa.ru/product/132994/rozetka-chetyrehmestnaya-ou-bz-belyy-ra16-246-bylectrica-praleska-belarus/" TargetMode="External"/><Relationship Id="rId_hyperlink_6447" Type="http://schemas.openxmlformats.org/officeDocument/2006/relationships/hyperlink" Target="https://optovikufa.ru/product/184110/rozetka-chetyrehmestnaya-ou-sz-belaya-ra16-245-bylectrica-praleska-belarus/" TargetMode="External"/><Relationship Id="rId_hyperlink_6448" Type="http://schemas.openxmlformats.org/officeDocument/2006/relationships/hyperlink" Target="https://optovikufa.ru/product/242032/vilka-pryamaya-kauchuk-16a-230v-2ppe-ip44-universal/" TargetMode="External"/><Relationship Id="rId_hyperlink_6449" Type="http://schemas.openxmlformats.org/officeDocument/2006/relationships/hyperlink" Target="https://optovikufa.ru/product/242823/vilka-pryamaya-kauchuk-16a-230v-2ppe-p16-001-uhl3/" TargetMode="External"/><Relationship Id="rId_hyperlink_6450" Type="http://schemas.openxmlformats.org/officeDocument/2006/relationships/hyperlink" Target="https://optovikufa.ru/product/224662/vilka-pryamaya-kauchuk-16a-230v-2ppe-p16-003-zk-gors/" TargetMode="External"/><Relationship Id="rId_hyperlink_6451" Type="http://schemas.openxmlformats.org/officeDocument/2006/relationships/hyperlink" Target="https://optovikufa.ru/product/242371/vilka-pryamaya-kauchuk-16a-b16-362-230v-zk/" TargetMode="External"/><Relationship Id="rId_hyperlink_6452" Type="http://schemas.openxmlformats.org/officeDocument/2006/relationships/hyperlink" Target="https://optovikufa.ru/product/242824/vilka-uglovaya-kauchuk-16a-230v-2ppe-v16-002-uhl3/" TargetMode="External"/><Relationship Id="rId_hyperlink_6453" Type="http://schemas.openxmlformats.org/officeDocument/2006/relationships/hyperlink" Target="https://optovikufa.ru/product/242825/vilka-uglovaya-kauchuk-16a-230v-2ppe-s-kolcom-v16-003-uhl3/" TargetMode="External"/><Relationship Id="rId_hyperlink_6454" Type="http://schemas.openxmlformats.org/officeDocument/2006/relationships/hyperlink" Target="https://optovikufa.ru/product/240947/vilka-uglovaya-kauchuk-16a-230v-2ppe-ip44-universal/" TargetMode="External"/><Relationship Id="rId_hyperlink_6455" Type="http://schemas.openxmlformats.org/officeDocument/2006/relationships/hyperlink" Target="https://optovikufa.ru/product/242744/vilka-ulovaya-s-ushkom-kauchuk-16a-230v-2ppe-ip44-universal-0003/" TargetMode="External"/><Relationship Id="rId_hyperlink_6456" Type="http://schemas.openxmlformats.org/officeDocument/2006/relationships/hyperlink" Target="https://optovikufa.ru/product/236592/vilka-shtepselnaya-kauchuk-16a-ip44-28-far-f48-z/" TargetMode="External"/><Relationship Id="rId_hyperlink_6457" Type="http://schemas.openxmlformats.org/officeDocument/2006/relationships/hyperlink" Target="https://optovikufa.ru/product/242827/rozetka-1-mestnaya-sz-perenosnaya-bez-kryshki-kauchuk-16a-ip20-ra16-005-uhl3/" TargetMode="External"/><Relationship Id="rId_hyperlink_6458" Type="http://schemas.openxmlformats.org/officeDocument/2006/relationships/hyperlink" Target="https://optovikufa.ru/product/242826/rozetka-1-mestnaya-sz-perenosnaya-s-zaschitnoy-kryshkoy-kauchuk-16a-ip44-ra16-005-uhl3/" TargetMode="External"/><Relationship Id="rId_hyperlink_6459" Type="http://schemas.openxmlformats.org/officeDocument/2006/relationships/hyperlink" Target="https://optovikufa.ru/product/242820/rozetka-1-mestnaya-sz-perenosnaya-s-zaschitnoy-kryshkoy-kauchuk-16a-ip44-rp16-131/" TargetMode="External"/><Relationship Id="rId_hyperlink_6460" Type="http://schemas.openxmlformats.org/officeDocument/2006/relationships/hyperlink" Target="https://optovikufa.ru/product/242822/rozetka-1-mestnaya-sz-uglovaya-perenosnaya-s-zaschitnoy-kryshkoy-kauchuk-16a-ip44-rp16-132/" TargetMode="External"/><Relationship Id="rId_hyperlink_6461" Type="http://schemas.openxmlformats.org/officeDocument/2006/relationships/hyperlink" Target="https://optovikufa.ru/product/242821/rozetka-2-mestnaya-sz-perenosnaya-s-zaschitnymi-kryshkami-kauchuk-16a-ip44-rp16-232/" TargetMode="External"/><Relationship Id="rId_hyperlink_6462" Type="http://schemas.openxmlformats.org/officeDocument/2006/relationships/hyperlink" Target="https://optovikufa.ru/product/233363/rozetka-perenosnaya-s-kolcom-i-zaschitnoy-kryshkoy-kauchukovaya-230v-2rre-16a-ip44-smartbuy-sbe-16-s08-r/" TargetMode="External"/><Relationship Id="rId_hyperlink_6463" Type="http://schemas.openxmlformats.org/officeDocument/2006/relationships/hyperlink" Target="https://optovikufa.ru/product/153894/rozetka-shtepselnaya-kauchuk-16a-ip44-28-z-far-f49/" TargetMode="External"/><Relationship Id="rId_hyperlink_6464" Type="http://schemas.openxmlformats.org/officeDocument/2006/relationships/hyperlink" Target="https://optovikufa.ru/product/218750/rozetka-shtepselnaya-kauchuk-p16-003-zk-perenosnaya-gors/" TargetMode="External"/><Relationship Id="rId_hyperlink_6465" Type="http://schemas.openxmlformats.org/officeDocument/2006/relationships/hyperlink" Target="https://optovikufa.ru/product/220458/rozetka-shtepselnaya-kauchuk-p16-004-zk-perenosnaya-kauchuk-s-zaschitnoy-kryshkoy-gors/" TargetMode="External"/><Relationship Id="rId_hyperlink_6466" Type="http://schemas.openxmlformats.org/officeDocument/2006/relationships/hyperlink" Target="https://optovikufa.ru/product/242372/rozetka-shtepselnaya-kauchuk-nakladnaya-16a-ip44-z-far-f106/" TargetMode="External"/><Relationship Id="rId_hyperlink_6467" Type="http://schemas.openxmlformats.org/officeDocument/2006/relationships/hyperlink" Target="https://optovikufa.ru/product/242730/rozetka-shtepselnaya-s-zazemleniem-kauchuk-16a-ip44-alfa/" TargetMode="External"/><Relationship Id="rId_hyperlink_6468" Type="http://schemas.openxmlformats.org/officeDocument/2006/relationships/hyperlink" Target="https://optovikufa.ru/product/238152/vilka-perenosnaya-smartbuy-2ppe-16a-220v-ip44-sbe-16-pp3-220/" TargetMode="External"/><Relationship Id="rId_hyperlink_6469" Type="http://schemas.openxmlformats.org/officeDocument/2006/relationships/hyperlink" Target="https://optovikufa.ru/product/238155/vilka-perenosnaya-smartbuy-2ppe-32a-220v-ip44-sbe-32-pp3-220/" TargetMode="External"/><Relationship Id="rId_hyperlink_6470" Type="http://schemas.openxmlformats.org/officeDocument/2006/relationships/hyperlink" Target="https://optovikufa.ru/product/238153/vilka-perenosnaya-smartbuy-3ppe-16a-380v-ip44-sbe-16-pp4-380/" TargetMode="External"/><Relationship Id="rId_hyperlink_6471" Type="http://schemas.openxmlformats.org/officeDocument/2006/relationships/hyperlink" Target="https://optovikufa.ru/product/238156/vilka-perenosnaya-smartbuy-3ppe-32a-380v-ip44-sbe-32-pp4-380/" TargetMode="External"/><Relationship Id="rId_hyperlink_6472" Type="http://schemas.openxmlformats.org/officeDocument/2006/relationships/hyperlink" Target="https://optovikufa.ru/product/238154/vilka-perenosnaya-smartbuy-3ppen-16a-380v-ip44-sbe-16-pp5-380/" TargetMode="External"/><Relationship Id="rId_hyperlink_6473" Type="http://schemas.openxmlformats.org/officeDocument/2006/relationships/hyperlink" Target="https://optovikufa.ru/product/238157/vilka-perenosnaya-smartbuy-3ppen-32a-380v-ip44-sbe-32-pp5-380/" TargetMode="External"/><Relationship Id="rId_hyperlink_6474" Type="http://schemas.openxmlformats.org/officeDocument/2006/relationships/hyperlink" Target="https://optovikufa.ru/product/149761/komplekt-rozetkavilka-rsh-vsh-250v32a-belyy/" TargetMode="External"/><Relationship Id="rId_hyperlink_6475" Type="http://schemas.openxmlformats.org/officeDocument/2006/relationships/hyperlink" Target="https://optovikufa.ru/product/123638/komplekt-rozetkavilka-rsh-vsh-250v32a-chernyy/" TargetMode="External"/><Relationship Id="rId_hyperlink_6476" Type="http://schemas.openxmlformats.org/officeDocument/2006/relationships/hyperlink" Target="https://optovikufa.ru/product/149762/komplekt-rozetkavilka-rsh-vsh-380v32a-belyy/" TargetMode="External"/><Relationship Id="rId_hyperlink_6477" Type="http://schemas.openxmlformats.org/officeDocument/2006/relationships/hyperlink" Target="https://optovikufa.ru/product/123639/komplekt-rozetkavilka-rsh-vsh-380v32a-chernyy/" TargetMode="External"/><Relationship Id="rId_hyperlink_6478" Type="http://schemas.openxmlformats.org/officeDocument/2006/relationships/hyperlink" Target="https://optovikufa.ru/product/242076/komplekt-rozetkavilka-se-rvsh-32-002-uhl4/" TargetMode="External"/><Relationship Id="rId_hyperlink_6479" Type="http://schemas.openxmlformats.org/officeDocument/2006/relationships/hyperlink" Target="https://optovikufa.ru/product/224698/razem-dlya-plity-250v-32a-2ppe-ou-karbolitovyy-chernyy-smartbuy-sbe-is2-250-c/" TargetMode="External"/><Relationship Id="rId_hyperlink_6480" Type="http://schemas.openxmlformats.org/officeDocument/2006/relationships/hyperlink" Target="https://optovikufa.ru/product/224700/razem-dlya-plity-250v-32a-2ppe-su-plastikovyy-belyy-smartbuy-sbe-is2-250-p/" TargetMode="External"/><Relationship Id="rId_hyperlink_6481" Type="http://schemas.openxmlformats.org/officeDocument/2006/relationships/hyperlink" Target="https://optovikufa.ru/product/224701/razem-dlya-plity-380v-32a-3ppe-ou-karbolitovyy-chernyy-smartbuy-sbe-is1-380-c/" TargetMode="External"/><Relationship Id="rId_hyperlink_6482" Type="http://schemas.openxmlformats.org/officeDocument/2006/relationships/hyperlink" Target="https://optovikufa.ru/product/238160/rozetka-perenosnaya-smartbuy-2ppe-32a-220v-ip44-sbe-32-ps3-220/" TargetMode="External"/><Relationship Id="rId_hyperlink_6483" Type="http://schemas.openxmlformats.org/officeDocument/2006/relationships/hyperlink" Target="https://optovikufa.ru/product/238158/rozetka-perenosnaya-smartbuy-3ppe-16a-380v-ip44-sbe-16-ps4-380/" TargetMode="External"/><Relationship Id="rId_hyperlink_6484" Type="http://schemas.openxmlformats.org/officeDocument/2006/relationships/hyperlink" Target="https://optovikufa.ru/product/238161/rozetka-perenosnaya-smartbuy-3ppe-32a-380v-ip44-sbe-32-ps4-380/" TargetMode="External"/><Relationship Id="rId_hyperlink_6485" Type="http://schemas.openxmlformats.org/officeDocument/2006/relationships/hyperlink" Target="https://optovikufa.ru/product/238159/rozetka-perenosnaya-smartbuy-3ppen-16a-380v-ip44-sbe-16-ps5-380/" TargetMode="External"/><Relationship Id="rId_hyperlink_6486" Type="http://schemas.openxmlformats.org/officeDocument/2006/relationships/hyperlink" Target="https://optovikufa.ru/product/238162/rozetka-perenosnaya-smartbuy-3ppen-32a-380v-ip44-sbe-32-ps5-380/" TargetMode="External"/><Relationship Id="rId_hyperlink_6487" Type="http://schemas.openxmlformats.org/officeDocument/2006/relationships/hyperlink" Target="https://optovikufa.ru/product/238163/rozetka-stacionarnaya-naruzhnaya-smartbuy-2ppe-16a-220v-ip44-sbe-16-ls3-220/" TargetMode="External"/><Relationship Id="rId_hyperlink_6488" Type="http://schemas.openxmlformats.org/officeDocument/2006/relationships/hyperlink" Target="https://optovikufa.ru/product/238166/rozetka-stacionarnaya-naruzhnaya-smartbuy-2ppe-32a-220v-ip44-sbe-32-ls3-220/" TargetMode="External"/><Relationship Id="rId_hyperlink_6489" Type="http://schemas.openxmlformats.org/officeDocument/2006/relationships/hyperlink" Target="https://optovikufa.ru/product/238164/rozetka-stacionarnaya-naruzhnaya-smartbuy-3ppe-16a-380v-ip44-sbe-16-ls4-380/" TargetMode="External"/><Relationship Id="rId_hyperlink_6490" Type="http://schemas.openxmlformats.org/officeDocument/2006/relationships/hyperlink" Target="https://optovikufa.ru/product/238167/rozetka-stacionarnaya-naruzhnaya-smartbuy-3ppe-32a-380v-ip44-sbe-32-ls4-380/" TargetMode="External"/><Relationship Id="rId_hyperlink_6491" Type="http://schemas.openxmlformats.org/officeDocument/2006/relationships/hyperlink" Target="https://optovikufa.ru/product/241079/izolenta-avtomobilnaya-terminator-iz-1510blue-shirina-15mm-dlina-10m-sinyaya/" TargetMode="External"/><Relationship Id="rId_hyperlink_6492" Type="http://schemas.openxmlformats.org/officeDocument/2006/relationships/hyperlink" Target="https://optovikufa.ru/product/218510/izolenta-beskleevaya-holodostoykaya-ne-podderzhivaet-gorenie-terminator-izc-1510-shirina-15mm-dlina-10m-chernaya/" TargetMode="External"/><Relationship Id="rId_hyperlink_6493" Type="http://schemas.openxmlformats.org/officeDocument/2006/relationships/hyperlink" Target="https://optovikufa.ru/product/230489/izolenta-beskleevaya-holodostoykaya-ne-podderzhivaet-gorenie-terminator-izc-1920-shirina-19mm-dlina-20m-chernaya/" TargetMode="External"/><Relationship Id="rId_hyperlink_6494" Type="http://schemas.openxmlformats.org/officeDocument/2006/relationships/hyperlink" Target="https://optovikufa.ru/product/131431/izolenta-pvh-15mm-10m-belaya-smartbuy-sbe-it-15-10-w/" TargetMode="External"/><Relationship Id="rId_hyperlink_6495" Type="http://schemas.openxmlformats.org/officeDocument/2006/relationships/hyperlink" Target="https://optovikufa.ru/product/131432/izolenta-pvh-15mm-10m-zheltaya-smartbuy-sbe-it-15-10-y/" TargetMode="External"/><Relationship Id="rId_hyperlink_6496" Type="http://schemas.openxmlformats.org/officeDocument/2006/relationships/hyperlink" Target="https://optovikufa.ru/product/131435/izolenta-pvh-15mm-10m-zhelto-zelenaya-smartbuy-sbe-it-15-10-yg/" TargetMode="External"/><Relationship Id="rId_hyperlink_6497" Type="http://schemas.openxmlformats.org/officeDocument/2006/relationships/hyperlink" Target="https://optovikufa.ru/product/131433/izolenta-pvh-15mm-10m-zelenaya-smartbuy-sbe-it-15-10-g/" TargetMode="External"/><Relationship Id="rId_hyperlink_6498" Type="http://schemas.openxmlformats.org/officeDocument/2006/relationships/hyperlink" Target="https://optovikufa.ru/product/131434/izolenta-pvh-15mm-10m-krasnaya-smartbuy-sbe-it-15-10-r/" TargetMode="External"/><Relationship Id="rId_hyperlink_6499" Type="http://schemas.openxmlformats.org/officeDocument/2006/relationships/hyperlink" Target="https://optovikufa.ru/product/224673/izolenta-pvh-15mm-10m-nabor-iz-5-cvetov-smartbuy-sbe-it-15-10-mix-za-upakovku/" TargetMode="External"/><Relationship Id="rId_hyperlink_6500" Type="http://schemas.openxmlformats.org/officeDocument/2006/relationships/hyperlink" Target="https://optovikufa.ru/product/131436/izolenta-pvh-15mm-10m-sinyaya-smartbuy-sbe-it-15-10-db/" TargetMode="External"/><Relationship Id="rId_hyperlink_6501" Type="http://schemas.openxmlformats.org/officeDocument/2006/relationships/hyperlink" Target="https://optovikufa.ru/product/131437/izolenta-pvh-15mm-10m-chernaya-smartbuy-sbe-it-15-10-b/" TargetMode="External"/><Relationship Id="rId_hyperlink_6502" Type="http://schemas.openxmlformats.org/officeDocument/2006/relationships/hyperlink" Target="https://optovikufa.ru/product/219364/izolenta-pvh-15mm-20m-belaya-smartbuy-sbe-it-15-20-w/" TargetMode="External"/><Relationship Id="rId_hyperlink_6503" Type="http://schemas.openxmlformats.org/officeDocument/2006/relationships/hyperlink" Target="https://optovikufa.ru/product/219365/izolenta-pvh-15mm-20m-zheltaya-smartbuy-sbe-it-15-20-y/" TargetMode="External"/><Relationship Id="rId_hyperlink_6504" Type="http://schemas.openxmlformats.org/officeDocument/2006/relationships/hyperlink" Target="https://optovikufa.ru/product/219366/izolenta-pvh-15mm-20m-zelenaya-smartbuy-sbe-it-15-20-g/" TargetMode="External"/><Relationship Id="rId_hyperlink_6505" Type="http://schemas.openxmlformats.org/officeDocument/2006/relationships/hyperlink" Target="https://optovikufa.ru/product/218659/izolenta-pvh-15mm-20m-krasnaya-smartbuy-sbe-it-15-20-r/" TargetMode="External"/><Relationship Id="rId_hyperlink_6506" Type="http://schemas.openxmlformats.org/officeDocument/2006/relationships/hyperlink" Target="https://optovikufa.ru/product/131438/izolenta-pvh-15mm-20m-sinyaya-smartbuy-sbe-it-15-20-db/" TargetMode="External"/><Relationship Id="rId_hyperlink_6507" Type="http://schemas.openxmlformats.org/officeDocument/2006/relationships/hyperlink" Target="https://optovikufa.ru/product/131439/izolenta-pvh-15mm-20m-chernaya-smartbuy-sbe-it-15-20-b/" TargetMode="External"/><Relationship Id="rId_hyperlink_6508" Type="http://schemas.openxmlformats.org/officeDocument/2006/relationships/hyperlink" Target="https://optovikufa.ru/product/224696/izolenta-pvh-19mm-20m-belaya-smartbuy-sbe-it-19-20-w/" TargetMode="External"/><Relationship Id="rId_hyperlink_6509" Type="http://schemas.openxmlformats.org/officeDocument/2006/relationships/hyperlink" Target="https://optovikufa.ru/product/218655/izolenta-pvh-19mm-20m-zheltaya-smartbuy-sbe-it-19-20-y/" TargetMode="External"/><Relationship Id="rId_hyperlink_6510" Type="http://schemas.openxmlformats.org/officeDocument/2006/relationships/hyperlink" Target="https://optovikufa.ru/product/218656/izolenta-pvh-19mm-20m-zhelto-zelenaya-smartbuy-sbe-it-19-20-yg/" TargetMode="External"/><Relationship Id="rId_hyperlink_6511" Type="http://schemas.openxmlformats.org/officeDocument/2006/relationships/hyperlink" Target="https://optovikufa.ru/product/218657/izolenta-pvh-19mm-20m-zelenaya-smartbuy-sbe-it-19-20-g/" TargetMode="External"/><Relationship Id="rId_hyperlink_6512" Type="http://schemas.openxmlformats.org/officeDocument/2006/relationships/hyperlink" Target="https://optovikufa.ru/product/218658/izolenta-pvh-19mm-20m-krasnaya-smartbuy-sbe-it-19-20-r/" TargetMode="External"/><Relationship Id="rId_hyperlink_6513" Type="http://schemas.openxmlformats.org/officeDocument/2006/relationships/hyperlink" Target="https://optovikufa.ru/product/131440/izolenta-pvh-19mm-20m-sinyaya-smartbuy-sbe-it-19-20-db/" TargetMode="External"/><Relationship Id="rId_hyperlink_6514" Type="http://schemas.openxmlformats.org/officeDocument/2006/relationships/hyperlink" Target="https://optovikufa.ru/product/131441/izolenta-pvh-19mm-20m-chernaya-smartbuy-sbe-it-19-20-b/" TargetMode="External"/><Relationship Id="rId_hyperlink_6515" Type="http://schemas.openxmlformats.org/officeDocument/2006/relationships/hyperlink" Target="https://optovikufa.ru/product/224223/izolenta-samoslipayuschayasya-15mm-5m-chernaya-smartbuy-sbe-rit-15-05-b/" TargetMode="External"/><Relationship Id="rId_hyperlink_6516" Type="http://schemas.openxmlformats.org/officeDocument/2006/relationships/hyperlink" Target="https://optovikufa.ru/product/129364/izolenta-hb-45g-15mm-4-metra/" TargetMode="External"/><Relationship Id="rId_hyperlink_6517" Type="http://schemas.openxmlformats.org/officeDocument/2006/relationships/hyperlink" Target="https://optovikufa.ru/product/224220/kleykaya-lenta-dvustoronnyaya-akrilovaya-12mm-3m-prozrachnaya-smartbuy-sbe-dst-12-03-t/" TargetMode="External"/><Relationship Id="rId_hyperlink_6518" Type="http://schemas.openxmlformats.org/officeDocument/2006/relationships/hyperlink" Target="https://optovikufa.ru/product/237903/lenta-izolyacionnaya-asfaltirovannaya-15mm-malaya/" TargetMode="External"/><Relationship Id="rId_hyperlink_6519" Type="http://schemas.openxmlformats.org/officeDocument/2006/relationships/hyperlink" Target="https://optovikufa.ru/product/237917/lenta-izolyacionnaya-asfaltirovannaya-15mm-srednyaya/" TargetMode="External"/><Relationship Id="rId_hyperlink_6520" Type="http://schemas.openxmlformats.org/officeDocument/2006/relationships/hyperlink" Target="https://optovikufa.ru/product/224222/lenta-samovulkaniziruyuschayasya-silikonovaya-25mm-3m-chernaya-smartbuy-sbe-sft-25-03-b/" TargetMode="External"/><Relationship Id="rId_hyperlink_6521" Type="http://schemas.openxmlformats.org/officeDocument/2006/relationships/hyperlink" Target="https://optovikufa.ru/product/224741/termo-trubka-2010mm-1m-prozrachnaya/" TargetMode="External"/><Relationship Id="rId_hyperlink_6522" Type="http://schemas.openxmlformats.org/officeDocument/2006/relationships/hyperlink" Target="https://optovikufa.ru/product/149831/termo-trubka-4020mm-1m-zheltaya/" TargetMode="External"/><Relationship Id="rId_hyperlink_6523" Type="http://schemas.openxmlformats.org/officeDocument/2006/relationships/hyperlink" Target="https://optovikufa.ru/product/149833/termo-trubka-6030mm-1m-zheltaya-25/" TargetMode="External"/><Relationship Id="rId_hyperlink_6524" Type="http://schemas.openxmlformats.org/officeDocument/2006/relationships/hyperlink" Target="https://optovikufa.ru/product/145617/termo-trubka-10050mm-1m-belaya/" TargetMode="External"/><Relationship Id="rId_hyperlink_6525" Type="http://schemas.openxmlformats.org/officeDocument/2006/relationships/hyperlink" Target="https://optovikufa.ru/product/236927/termo-trubka-10050mm-1m-zheltaya/" TargetMode="External"/><Relationship Id="rId_hyperlink_6526" Type="http://schemas.openxmlformats.org/officeDocument/2006/relationships/hyperlink" Target="https://optovikufa.ru/product/224674/termo-trubka-10050mm-1m-krasnaya/" TargetMode="External"/><Relationship Id="rId_hyperlink_6527" Type="http://schemas.openxmlformats.org/officeDocument/2006/relationships/hyperlink" Target="https://optovikufa.ru/product/224675/termo-trubka-10050mm-1m-sinyaya/" TargetMode="External"/><Relationship Id="rId_hyperlink_6528" Type="http://schemas.openxmlformats.org/officeDocument/2006/relationships/hyperlink" Target="https://optovikufa.ru/product/242408/trubka-termousadochnaya-s-kleem-31mm-1m-zelenaya/" TargetMode="External"/><Relationship Id="rId_hyperlink_6529" Type="http://schemas.openxmlformats.org/officeDocument/2006/relationships/hyperlink" Target="https://optovikufa.ru/product/238412/trubka-termousadochnaya-s-kleem-31mm-1m-sinyaya/" TargetMode="External"/><Relationship Id="rId_hyperlink_6530" Type="http://schemas.openxmlformats.org/officeDocument/2006/relationships/hyperlink" Target="https://optovikufa.ru/product/122718/nabor-termo-trubok-1-avto-rexant-29-0101/" TargetMode="External"/><Relationship Id="rId_hyperlink_6531" Type="http://schemas.openxmlformats.org/officeDocument/2006/relationships/hyperlink" Target="https://optovikufa.ru/product/147725/nabor-termo-trubok-2-avto-import-rexant-29-0102/" TargetMode="External"/><Relationship Id="rId_hyperlink_6532" Type="http://schemas.openxmlformats.org/officeDocument/2006/relationships/hyperlink" Target="https://optovikufa.ru/product/135834/nabor-termo-trubok-3-assorti-rexant-29-0103/" TargetMode="External"/><Relationship Id="rId_hyperlink_6533" Type="http://schemas.openxmlformats.org/officeDocument/2006/relationships/hyperlink" Target="https://optovikufa.ru/product/135835/nabor-termo-trubok-4-rybolov-rexant-29-0104/" TargetMode="External"/><Relationship Id="rId_hyperlink_6534" Type="http://schemas.openxmlformats.org/officeDocument/2006/relationships/hyperlink" Target="https://optovikufa.ru/product/147722/nabor-termo-trubok-5-standart-rexant-29-0105/" TargetMode="External"/><Relationship Id="rId_hyperlink_6535" Type="http://schemas.openxmlformats.org/officeDocument/2006/relationships/hyperlink" Target="https://optovikufa.ru/product/147724/nabor-termo-trubok-6-maksimum-rexant-29-0106/" TargetMode="External"/><Relationship Id="rId_hyperlink_6536" Type="http://schemas.openxmlformats.org/officeDocument/2006/relationships/hyperlink" Target="https://optovikufa.ru/product/136581/kabel-kanal-1212-belyy-2m/" TargetMode="External"/><Relationship Id="rId_hyperlink_6537" Type="http://schemas.openxmlformats.org/officeDocument/2006/relationships/hyperlink" Target="https://optovikufa.ru/product/227078/kabel-kanal-1212-venge-2m-uralpak/" TargetMode="External"/><Relationship Id="rId_hyperlink_6538" Type="http://schemas.openxmlformats.org/officeDocument/2006/relationships/hyperlink" Target="https://optovikufa.ru/product/227079/kabel-kanal-1212-sosna-2m-uralpak/" TargetMode="External"/><Relationship Id="rId_hyperlink_6539" Type="http://schemas.openxmlformats.org/officeDocument/2006/relationships/hyperlink" Target="https://optovikufa.ru/product/129415/kabel-kanal-1510-belyy-2m/" TargetMode="External"/><Relationship Id="rId_hyperlink_6540" Type="http://schemas.openxmlformats.org/officeDocument/2006/relationships/hyperlink" Target="https://optovikufa.ru/product/227080/kabel-kanal-1510-venge-2m-uralpak/" TargetMode="External"/><Relationship Id="rId_hyperlink_6541" Type="http://schemas.openxmlformats.org/officeDocument/2006/relationships/hyperlink" Target="https://optovikufa.ru/product/227081/kabel-kanal-1510-sosna-2m-uralpak/" TargetMode="External"/><Relationship Id="rId_hyperlink_6542" Type="http://schemas.openxmlformats.org/officeDocument/2006/relationships/hyperlink" Target="https://optovikufa.ru/product/123940/kabel-kanal-1616-belyy-2m/" TargetMode="External"/><Relationship Id="rId_hyperlink_6543" Type="http://schemas.openxmlformats.org/officeDocument/2006/relationships/hyperlink" Target="https://optovikufa.ru/product/123941/kabel-kanal-2010-belyy-2m/" TargetMode="External"/><Relationship Id="rId_hyperlink_6544" Type="http://schemas.openxmlformats.org/officeDocument/2006/relationships/hyperlink" Target="https://optovikufa.ru/product/123942/kabel-kanal-2516-belyy-2m/" TargetMode="External"/><Relationship Id="rId_hyperlink_6545" Type="http://schemas.openxmlformats.org/officeDocument/2006/relationships/hyperlink" Target="https://optovikufa.ru/product/136890/kabel-kanal-4016-belyy-2m/" TargetMode="External"/><Relationship Id="rId_hyperlink_6546" Type="http://schemas.openxmlformats.org/officeDocument/2006/relationships/hyperlink" Target="https://optovikufa.ru/product/147884/kabel-kanal-4040-belyy-2m/" TargetMode="External"/><Relationship Id="rId_hyperlink_6547" Type="http://schemas.openxmlformats.org/officeDocument/2006/relationships/hyperlink" Target="https://optovikufa.ru/product/239982/kabel-kanal-8060-belyy-2m/" TargetMode="External"/><Relationship Id="rId_hyperlink_6548" Type="http://schemas.openxmlformats.org/officeDocument/2006/relationships/hyperlink" Target="https://optovikufa.ru/product/159393/dyubel-homut-5-10-mm-dh-dlya-kruglogo-kabelya-100sht-9829-partner/" TargetMode="External"/><Relationship Id="rId_hyperlink_6549" Type="http://schemas.openxmlformats.org/officeDocument/2006/relationships/hyperlink" Target="https://optovikufa.ru/product/159392/dyubel-homut-5-10mm-neylon-chernyy-100sht-uhh36-5-10-100-iek/" TargetMode="External"/><Relationship Id="rId_hyperlink_6550" Type="http://schemas.openxmlformats.org/officeDocument/2006/relationships/hyperlink" Target="https://optovikufa.ru/product/236045/dyubel-homut-d11x18-mm-dlya-kruglogo-kabelya-dlinna-54mm-neylon-chernyy-100shtup-sbe-cj-18-b/" TargetMode="External"/><Relationship Id="rId_hyperlink_6551" Type="http://schemas.openxmlformats.org/officeDocument/2006/relationships/hyperlink" Target="https://optovikufa.ru/product/125583/dyubel-homut-d11h18-mm-dlya-kruglogo-kabelya-dlinna-54mmneylon-belyy-50shtup-ekf-639146/" TargetMode="External"/><Relationship Id="rId_hyperlink_6552" Type="http://schemas.openxmlformats.org/officeDocument/2006/relationships/hyperlink" Target="https://optovikufa.ru/product/233364/dyubel-homut-d5h10-mm-dlya-kruglogo-kabelya-dlinna-45mm-neylon-belyy-100shtup-sbe-cj-10-w/" TargetMode="External"/><Relationship Id="rId_hyperlink_6553" Type="http://schemas.openxmlformats.org/officeDocument/2006/relationships/hyperlink" Target="https://optovikufa.ru/product/236004/dyubel-homut-d5h8-mm-dlya-kruglogo-kabelya-dlinna-45mm-neylon-belyy-100shtup-sbe-cj-08-w/" TargetMode="External"/><Relationship Id="rId_hyperlink_6554" Type="http://schemas.openxmlformats.org/officeDocument/2006/relationships/hyperlink" Target="https://optovikufa.ru/product/125589/dyubel-homut-d6h12-mm-dlya-ploskogo-kabelya-dlinna-45mmneylon-chernyy-50shtup-ekf-458475/" TargetMode="External"/><Relationship Id="rId_hyperlink_6555" Type="http://schemas.openxmlformats.org/officeDocument/2006/relationships/hyperlink" Target="https://optovikufa.ru/product/125590/dyubel-homut-d6h14-mm-dlya-ploskogo-kabelya-dlinna-45mmneylon-belyy-50shtup-ekf/" TargetMode="External"/><Relationship Id="rId_hyperlink_6556" Type="http://schemas.openxmlformats.org/officeDocument/2006/relationships/hyperlink" Target="https://optovikufa.ru/product/179229/krepezh-klipsa-dlya-gofry-16-seraya-100/" TargetMode="External"/><Relationship Id="rId_hyperlink_6557" Type="http://schemas.openxmlformats.org/officeDocument/2006/relationships/hyperlink" Target="https://optovikufa.ru/product/136910/krepezh-klipsa-dlya-gofry-20-seraya-100/" TargetMode="External"/><Relationship Id="rId_hyperlink_6558" Type="http://schemas.openxmlformats.org/officeDocument/2006/relationships/hyperlink" Target="https://optovikufa.ru/product/136911/krepezh-klipsa-dlya-gofry-25-seraya/" TargetMode="External"/><Relationship Id="rId_hyperlink_6559" Type="http://schemas.openxmlformats.org/officeDocument/2006/relationships/hyperlink" Target="https://optovikufa.ru/product/136912/krepezh-klipsa-dlya-gofry-32-seraya-50/" TargetMode="External"/><Relationship Id="rId_hyperlink_6560" Type="http://schemas.openxmlformats.org/officeDocument/2006/relationships/hyperlink" Target="https://optovikufa.ru/product/238878/krepezh-kabelya-kruglyy-10mm-upak50-sht-rexant/" TargetMode="External"/><Relationship Id="rId_hyperlink_6561" Type="http://schemas.openxmlformats.org/officeDocument/2006/relationships/hyperlink" Target="https://optovikufa.ru/product/238880/krepezh-kabelya-kruglyy-14mm-upak50-sht-rexant/" TargetMode="External"/><Relationship Id="rId_hyperlink_6562" Type="http://schemas.openxmlformats.org/officeDocument/2006/relationships/hyperlink" Target="https://optovikufa.ru/product/165973/krepezh-kabelya-kruglyy-5mm-upak50-sht-rexant-07-4005/" TargetMode="External"/><Relationship Id="rId_hyperlink_6563" Type="http://schemas.openxmlformats.org/officeDocument/2006/relationships/hyperlink" Target="https://optovikufa.ru/product/165978/krepezh-kabelya-ploskiy-6mm-h-4mm-upak50-sht-rexant-07-4206/" TargetMode="External"/><Relationship Id="rId_hyperlink_6564" Type="http://schemas.openxmlformats.org/officeDocument/2006/relationships/hyperlink" Target="https://optovikufa.ru/product/165979/krepezh-kabelya-ploskiy-8mm-h-3mm-upak50-sht-rexant-07-4207/" TargetMode="External"/><Relationship Id="rId_hyperlink_6565" Type="http://schemas.openxmlformats.org/officeDocument/2006/relationships/hyperlink" Target="https://optovikufa.ru/product/227070/krepezh-kabelya-ploskiy-9mm-belyy-50sht-tdm-sq0513-0013/" TargetMode="External"/><Relationship Id="rId_hyperlink_6566" Type="http://schemas.openxmlformats.org/officeDocument/2006/relationships/hyperlink" Target="https://optovikufa.ru/product/171806/homuty-neylonovyy-smartbuy-25x100-belyy-sbe-ct-25-100-w/" TargetMode="External"/><Relationship Id="rId_hyperlink_6567" Type="http://schemas.openxmlformats.org/officeDocument/2006/relationships/hyperlink" Target="https://optovikufa.ru/product/171807/homuty-neylonovyy-smartbuy-25x100-chernyy-sbe-ct-25-100-b/" TargetMode="External"/><Relationship Id="rId_hyperlink_6568" Type="http://schemas.openxmlformats.org/officeDocument/2006/relationships/hyperlink" Target="https://optovikufa.ru/product/136448/homuty-neylonovyy-smartbuy-25x120-belyy-sbe-ct-25-120-w/" TargetMode="External"/><Relationship Id="rId_hyperlink_6569" Type="http://schemas.openxmlformats.org/officeDocument/2006/relationships/hyperlink" Target="https://optovikufa.ru/product/136449/homuty-neylonovyy-smartbuy-25x120-chernyy-sbe-ct-25-120-b/" TargetMode="External"/><Relationship Id="rId_hyperlink_6570" Type="http://schemas.openxmlformats.org/officeDocument/2006/relationships/hyperlink" Target="https://optovikufa.ru/product/136450/homuty-neylonovyy-smartbuy-25x150-belyy-sbe-ct-25-150-w/" TargetMode="External"/><Relationship Id="rId_hyperlink_6571" Type="http://schemas.openxmlformats.org/officeDocument/2006/relationships/hyperlink" Target="https://optovikufa.ru/product/125690/homuty-neylonovyy-smartbuy-25x200-belyy-sbe-ct-25-200-w/" TargetMode="External"/><Relationship Id="rId_hyperlink_6572" Type="http://schemas.openxmlformats.org/officeDocument/2006/relationships/hyperlink" Target="https://optovikufa.ru/product/125691/homuty-neylonovyy-smartbuy-25x200-chernyy-sbe-ct-25-200-b/" TargetMode="External"/><Relationship Id="rId_hyperlink_6573" Type="http://schemas.openxmlformats.org/officeDocument/2006/relationships/hyperlink" Target="https://optovikufa.ru/product/125692/homuty-neylonovyy-smartbuy-36x150-belyy-sbe-ct-36-150-w/" TargetMode="External"/><Relationship Id="rId_hyperlink_6574" Type="http://schemas.openxmlformats.org/officeDocument/2006/relationships/hyperlink" Target="https://optovikufa.ru/product/125693/homuty-neylonovyy-smartbuy-36x150-chernyy-sbe-ct-36-150-b/" TargetMode="External"/><Relationship Id="rId_hyperlink_6575" Type="http://schemas.openxmlformats.org/officeDocument/2006/relationships/hyperlink" Target="https://optovikufa.ru/product/125694/homuty-neylonovyy-smartbuy-36x200-belyy-sbe-ct-36-200-w/" TargetMode="External"/><Relationship Id="rId_hyperlink_6576" Type="http://schemas.openxmlformats.org/officeDocument/2006/relationships/hyperlink" Target="https://optovikufa.ru/product/125695/homuty-neylonovyy-smartbuy-36x200-chernyy-sbe-ct-36-200-b/" TargetMode="External"/><Relationship Id="rId_hyperlink_6577" Type="http://schemas.openxmlformats.org/officeDocument/2006/relationships/hyperlink" Target="https://optovikufa.ru/product/125696/homuty-neylonovyy-smartbuy-36x250-belyy-sbe-ct-36-250-w/" TargetMode="External"/><Relationship Id="rId_hyperlink_6578" Type="http://schemas.openxmlformats.org/officeDocument/2006/relationships/hyperlink" Target="https://optovikufa.ru/product/125697/homuty-neylonovyy-smartbuy-36x250-chernyy-sbe-ct-36-250-b/" TargetMode="External"/><Relationship Id="rId_hyperlink_6579" Type="http://schemas.openxmlformats.org/officeDocument/2006/relationships/hyperlink" Target="https://optovikufa.ru/product/125698/homuty-neylonovyy-smartbuy-36x300-belyy-sbe-ct-36-300-w/" TargetMode="External"/><Relationship Id="rId_hyperlink_6580" Type="http://schemas.openxmlformats.org/officeDocument/2006/relationships/hyperlink" Target="https://optovikufa.ru/product/125699/homuty-neylonovyy-smartbuy-36x300-chernyy-sbe-ct-36-300-b/" TargetMode="External"/><Relationship Id="rId_hyperlink_6581" Type="http://schemas.openxmlformats.org/officeDocument/2006/relationships/hyperlink" Target="https://optovikufa.ru/product/125700/homuty-neylonovyy-smartbuy-48x200-belyy-sbe-ct-48-200-w/" TargetMode="External"/><Relationship Id="rId_hyperlink_6582" Type="http://schemas.openxmlformats.org/officeDocument/2006/relationships/hyperlink" Target="https://optovikufa.ru/product/125701/homuty-neylonovyy-smartbuy-48x200-chernyy-sbe-ct-48-200-b/" TargetMode="External"/><Relationship Id="rId_hyperlink_6583" Type="http://schemas.openxmlformats.org/officeDocument/2006/relationships/hyperlink" Target="https://optovikufa.ru/product/125702/homuty-neylonovyy-smartbuy-48x250-belyy-sbe-ct-48-250-w/" TargetMode="External"/><Relationship Id="rId_hyperlink_6584" Type="http://schemas.openxmlformats.org/officeDocument/2006/relationships/hyperlink" Target="https://optovikufa.ru/product/125703/homuty-neylonovyy-smartbuy-48x250-chernyy-sbe-ct-48-250-b/" TargetMode="External"/><Relationship Id="rId_hyperlink_6585" Type="http://schemas.openxmlformats.org/officeDocument/2006/relationships/hyperlink" Target="https://optovikufa.ru/product/125704/homuty-neylonovyy-smartbuy-48x300-belyy-sbe-ct-48-300-w/" TargetMode="External"/><Relationship Id="rId_hyperlink_6586" Type="http://schemas.openxmlformats.org/officeDocument/2006/relationships/hyperlink" Target="https://optovikufa.ru/product/125705/homuty-neylonovyy-smartbuy-48x300-chernyy-sbe-ct-48-300-b/" TargetMode="External"/><Relationship Id="rId_hyperlink_6587" Type="http://schemas.openxmlformats.org/officeDocument/2006/relationships/hyperlink" Target="https://optovikufa.ru/product/125706/homuty-neylonovyy-smartbuy-48x350-belyy-sbe-ct-48-350-w/" TargetMode="External"/><Relationship Id="rId_hyperlink_6588" Type="http://schemas.openxmlformats.org/officeDocument/2006/relationships/hyperlink" Target="https://optovikufa.ru/product/125707/homuty-neylonovyy-smartbuy-48x350-chernyy-sbe-ct-48-350-b/" TargetMode="External"/><Relationship Id="rId_hyperlink_6589" Type="http://schemas.openxmlformats.org/officeDocument/2006/relationships/hyperlink" Target="https://optovikufa.ru/product/125708/homuty-neylonovyy-smartbuy-48x400-belyy-sbe-ct-48-400-w/" TargetMode="External"/><Relationship Id="rId_hyperlink_6590" Type="http://schemas.openxmlformats.org/officeDocument/2006/relationships/hyperlink" Target="https://optovikufa.ru/product/125709/homuty-neylonovyy-smartbuy-48x400-chernyy-sbe-ct-48-400-b/" TargetMode="External"/><Relationship Id="rId_hyperlink_6591" Type="http://schemas.openxmlformats.org/officeDocument/2006/relationships/hyperlink" Target="https://optovikufa.ru/product/234277/homuty-neylonovyy-smartbuy-48x450-belyy-sbe-ct-48-450-w/" TargetMode="External"/><Relationship Id="rId_hyperlink_6592" Type="http://schemas.openxmlformats.org/officeDocument/2006/relationships/hyperlink" Target="https://optovikufa.ru/product/234279/homuty-neylonovyy-smartbuy-48x500-belyy-sbe-ct-48-500-w/" TargetMode="External"/><Relationship Id="rId_hyperlink_6593" Type="http://schemas.openxmlformats.org/officeDocument/2006/relationships/hyperlink" Target="https://optovikufa.ru/product/234280/homuty-neylonovyy-smartbuy-48x500-chernyy-sbe-ct-48-500-b/" TargetMode="External"/><Relationship Id="rId_hyperlink_6594" Type="http://schemas.openxmlformats.org/officeDocument/2006/relationships/hyperlink" Target="https://optovikufa.ru/product/236029/homuty-neylonovyy-smartbuy-76x300-belyy-sbe-ct-76-300-w/" TargetMode="External"/><Relationship Id="rId_hyperlink_6595" Type="http://schemas.openxmlformats.org/officeDocument/2006/relationships/hyperlink" Target="https://optovikufa.ru/product/234281/homuty-neylonovyy-smartbuy-76x350-belyy-sbe-ct-76-350-w/" TargetMode="External"/><Relationship Id="rId_hyperlink_6596" Type="http://schemas.openxmlformats.org/officeDocument/2006/relationships/hyperlink" Target="https://optovikufa.ru/product/236030/homuty-neylonovyy-smartbuy-76x350-chernyy-sbe-ct-76-350-b/" TargetMode="External"/><Relationship Id="rId_hyperlink_6597" Type="http://schemas.openxmlformats.org/officeDocument/2006/relationships/hyperlink" Target="https://optovikufa.ru/product/234282/homuty-neylonovyy-smartbuy-76x400-belyy-sbe-ct-76-400-w-100sht/" TargetMode="External"/><Relationship Id="rId_hyperlink_6598" Type="http://schemas.openxmlformats.org/officeDocument/2006/relationships/hyperlink" Target="https://optovikufa.ru/product/234283/homuty-neylonovyy-smartbuy-76x400-chernyy-sbe-ct-76-400-b/" TargetMode="External"/><Relationship Id="rId_hyperlink_6599" Type="http://schemas.openxmlformats.org/officeDocument/2006/relationships/hyperlink" Target="https://optovikufa.ru/product/236032/homuty-neylonovyy-smartbuy-76x450-belyy-sbe-ct-76-450-w/" TargetMode="External"/><Relationship Id="rId_hyperlink_6600" Type="http://schemas.openxmlformats.org/officeDocument/2006/relationships/hyperlink" Target="https://optovikufa.ru/product/236031/homuty-neylonovyy-smartbuy-76x450-chernyy-sbe-ct-76-450-b/" TargetMode="External"/><Relationship Id="rId_hyperlink_6601" Type="http://schemas.openxmlformats.org/officeDocument/2006/relationships/hyperlink" Target="https://optovikufa.ru/product/236033/homuty-neylonovyy-smartbuy-76x500-belyy-sbe-ct-76-500-w/" TargetMode="External"/><Relationship Id="rId_hyperlink_6602" Type="http://schemas.openxmlformats.org/officeDocument/2006/relationships/hyperlink" Target="https://optovikufa.ru/product/236034/homuty-neylonovyy-smartbuy-76x500-chernyy-sbe-ct-76-500-b/" TargetMode="External"/><Relationship Id="rId_hyperlink_6603" Type="http://schemas.openxmlformats.org/officeDocument/2006/relationships/hyperlink" Target="https://optovikufa.ru/product/237038/salnik-pg13-diametr-provodnika-6-12mm-ip54-smartbuy-sbe-cg-pg-135-up-5-shtuk/" TargetMode="External"/><Relationship Id="rId_hyperlink_6604" Type="http://schemas.openxmlformats.org/officeDocument/2006/relationships/hyperlink" Target="https://optovikufa.ru/product/237039/salnik-pg16-diametr-provodnika-10-14mm-ip54-smartbuy-sbe-cg-pg-16-up-5-shtuk/" TargetMode="External"/><Relationship Id="rId_hyperlink_6605" Type="http://schemas.openxmlformats.org/officeDocument/2006/relationships/hyperlink" Target="https://optovikufa.ru/product/237040/salnik-pg19-diametr-provodnika-12-15mm-ip54-smartbuy-sbe-cg-pg-19-up-5-shtuk/" TargetMode="External"/><Relationship Id="rId_hyperlink_6606" Type="http://schemas.openxmlformats.org/officeDocument/2006/relationships/hyperlink" Target="https://optovikufa.ru/product/237041/salnik-pg21-diametr-provodnika-13-18mm-ip54-smartbuy-sbe-cg-pg-21-up-5-shtuk/" TargetMode="External"/><Relationship Id="rId_hyperlink_6607" Type="http://schemas.openxmlformats.org/officeDocument/2006/relationships/hyperlink" Target="https://optovikufa.ru/product/237042/salnik-pg25-diametr-provodnika-16-21mm-ip54-smartbuy-sbe-cg-pg-25-up-5-shtuk/" TargetMode="External"/><Relationship Id="rId_hyperlink_6608" Type="http://schemas.openxmlformats.org/officeDocument/2006/relationships/hyperlink" Target="https://optovikufa.ru/product/237043/salnik-pg29-diametr-provodnika-18-25mm-ip54-smartbuy-sbe-cg-pg-29-up-5-shtuk/" TargetMode="External"/><Relationship Id="rId_hyperlink_6609" Type="http://schemas.openxmlformats.org/officeDocument/2006/relationships/hyperlink" Target="https://optovikufa.ru/product/234262/salnik-pg7-3-65mm-smartbuy-sbe-cg-pg7-up-5-shtuk/" TargetMode="External"/><Relationship Id="rId_hyperlink_6610" Type="http://schemas.openxmlformats.org/officeDocument/2006/relationships/hyperlink" Target="https://optovikufa.ru/product/237046/salnik-pg9-diametr-provodnika-4-8mm-ip54-smartbuy-sbe-cg-pg-9-up-5-shtuk/" TargetMode="External"/><Relationship Id="rId_hyperlink_6611" Type="http://schemas.openxmlformats.org/officeDocument/2006/relationships/hyperlink" Target="https://optovikufa.ru/product/136906/truba-pvh-gofro-s-zond-16/" TargetMode="External"/><Relationship Id="rId_hyperlink_6612" Type="http://schemas.openxmlformats.org/officeDocument/2006/relationships/hyperlink" Target="https://optovikufa.ru/product/136907/truba-pvh-gofro-s-zond-20/" TargetMode="External"/><Relationship Id="rId_hyperlink_6613" Type="http://schemas.openxmlformats.org/officeDocument/2006/relationships/hyperlink" Target="https://optovikufa.ru/product/136908/truba-pvh-gofro-s-zond-25/" TargetMode="External"/><Relationship Id="rId_hyperlink_6614" Type="http://schemas.openxmlformats.org/officeDocument/2006/relationships/hyperlink" Target="https://optovikufa.ru/product/136909/truba-pvh-gofro-s-zond-32/" TargetMode="External"/><Relationship Id="rId_hyperlink_6615" Type="http://schemas.openxmlformats.org/officeDocument/2006/relationships/hyperlink" Target="https://optovikufa.ru/product/178008/truba-pnd-gofro-s-zond-16-oranzhevaya-tdm-sq0413-0011/" TargetMode="External"/><Relationship Id="rId_hyperlink_6616" Type="http://schemas.openxmlformats.org/officeDocument/2006/relationships/hyperlink" Target="https://optovikufa.ru/product/153544/kabel-avvg-p-240-chernyy-m/" TargetMode="External"/><Relationship Id="rId_hyperlink_6617" Type="http://schemas.openxmlformats.org/officeDocument/2006/relationships/hyperlink" Target="https://optovikufa.ru/product/242000/kabel-akusticheskiy-prozrachnyy-225mm-beskislorodnaya-med-ofc-999-ultra-flat-ploskiy-100/" TargetMode="External"/><Relationship Id="rId_hyperlink_6618" Type="http://schemas.openxmlformats.org/officeDocument/2006/relationships/hyperlink" Target="https://optovikufa.ru/product/176533/kabel-akusticheskiy-krchern-2035mm-100/" TargetMode="External"/><Relationship Id="rId_hyperlink_6619" Type="http://schemas.openxmlformats.org/officeDocument/2006/relationships/hyperlink" Target="https://optovikufa.ru/product/141128/kabel-vvg-png-215-chernyy-gost/" TargetMode="External"/><Relationship Id="rId_hyperlink_6620" Type="http://schemas.openxmlformats.org/officeDocument/2006/relationships/hyperlink" Target="https://optovikufa.ru/product/141129/kabel-vvg-png-225-chernyy-gost/" TargetMode="External"/><Relationship Id="rId_hyperlink_6621" Type="http://schemas.openxmlformats.org/officeDocument/2006/relationships/hyperlink" Target="https://optovikufa.ru/product/141130/kabel-vvg-png-315-chernyy-gost/" TargetMode="External"/><Relationship Id="rId_hyperlink_6622" Type="http://schemas.openxmlformats.org/officeDocument/2006/relationships/hyperlink" Target="https://optovikufa.ru/product/141131/kabel-vvg-png-325-chernyy-gost/" TargetMode="External"/><Relationship Id="rId_hyperlink_6623" Type="http://schemas.openxmlformats.org/officeDocument/2006/relationships/hyperlink" Target="https://optovikufa.ru/product/166607/kabel-vvg-png-415-chernyy-gost/" TargetMode="External"/><Relationship Id="rId_hyperlink_6624" Type="http://schemas.openxmlformats.org/officeDocument/2006/relationships/hyperlink" Target="https://optovikufa.ru/product/166756/kabel-vvg-png-425-chernyy-gost/" TargetMode="External"/><Relationship Id="rId_hyperlink_6625" Type="http://schemas.openxmlformats.org/officeDocument/2006/relationships/hyperlink" Target="https://optovikufa.ru/product/136213/kabel-kg-2075-m-gost/" TargetMode="External"/><Relationship Id="rId_hyperlink_6626" Type="http://schemas.openxmlformats.org/officeDocument/2006/relationships/hyperlink" Target="https://optovikufa.ru/product/190914/kabel-kg-225-m-gost/" TargetMode="External"/><Relationship Id="rId_hyperlink_6627" Type="http://schemas.openxmlformats.org/officeDocument/2006/relationships/hyperlink" Target="https://optovikufa.ru/product/174984/provod-pv-3pugv-25-belyy-m/" TargetMode="External"/><Relationship Id="rId_hyperlink_6628" Type="http://schemas.openxmlformats.org/officeDocument/2006/relationships/hyperlink" Target="https://optovikufa.ru/product/191385/provod-pv-3pugv-60-belyy-m/" TargetMode="External"/><Relationship Id="rId_hyperlink_6629" Type="http://schemas.openxmlformats.org/officeDocument/2006/relationships/hyperlink" Target="https://optovikufa.ru/product/235958/kabel-vitaya-para-utp-4224awg-5-e-kategoriya-neton-01-1001/" TargetMode="External"/><Relationship Id="rId_hyperlink_6630" Type="http://schemas.openxmlformats.org/officeDocument/2006/relationships/hyperlink" Target="https://optovikufa.ru/product/145005/kabel-koaksialnyy-antennyy-rk75-43-31-dlya-pomescheniy-mastersat-rg-6u-chuvash-belyy/" TargetMode="External"/><Relationship Id="rId_hyperlink_6631" Type="http://schemas.openxmlformats.org/officeDocument/2006/relationships/hyperlink" Target="https://optovikufa.ru/product/218070/kabel-koaksialnyy-antennyy-rk75-43-31-ulichnyy-mastersat-rg-6u-chuvash-chernyy/" TargetMode="External"/><Relationship Id="rId_hyperlink_6632" Type="http://schemas.openxmlformats.org/officeDocument/2006/relationships/hyperlink" Target="https://optovikufa.ru/product/136530/provod-pvs-210-belyy-m-gost/" TargetMode="External"/><Relationship Id="rId_hyperlink_6633" Type="http://schemas.openxmlformats.org/officeDocument/2006/relationships/hyperlink" Target="https://optovikufa.ru/product/123692/provod-pvs-315-belyy-m-gost/" TargetMode="External"/><Relationship Id="rId_hyperlink_6634" Type="http://schemas.openxmlformats.org/officeDocument/2006/relationships/hyperlink" Target="https://optovikufa.ru/product/183181/provod-pugvv-p-215-m-napryazhenie-450750v-as-belyy-gost/" TargetMode="External"/><Relationship Id="rId_hyperlink_6635" Type="http://schemas.openxmlformats.org/officeDocument/2006/relationships/hyperlink" Target="https://optovikufa.ru/product/218069/provod-pugvv-p-225-m-napryazhenie-450750v-as-ili-1000-dc-belyy-gost/" TargetMode="External"/><Relationship Id="rId_hyperlink_6636" Type="http://schemas.openxmlformats.org/officeDocument/2006/relationships/hyperlink" Target="https://optovikufa.ru/product/123711/provod-shvvp-2075-belyy-gost/" TargetMode="External"/><Relationship Id="rId_hyperlink_6637" Type="http://schemas.openxmlformats.org/officeDocument/2006/relationships/hyperlink" Target="https://optovikufa.ru/product/123712/provod-shvvp-305-belyy-m/" TargetMode="External"/><Relationship Id="rId_hyperlink_6638" Type="http://schemas.openxmlformats.org/officeDocument/2006/relationships/hyperlink" Target="https://optovikufa.ru/product/237295/gilza-soedinitelnaya-izolirovannaya-termousazhivaemaya-s-pripoem-05-15mm-krasnaya-100/" TargetMode="External"/><Relationship Id="rId_hyperlink_6639" Type="http://schemas.openxmlformats.org/officeDocument/2006/relationships/hyperlink" Target="https://optovikufa.ru/product/237296/gilza-soedinitelnaya-izolirovannaya-termousazhivaemaya-s-pripoem-15-25mm-sinyaya/" TargetMode="External"/><Relationship Id="rId_hyperlink_6640" Type="http://schemas.openxmlformats.org/officeDocument/2006/relationships/hyperlink" Target="https://optovikufa.ru/product/233356/kolodka-klemmnaya-3a-4mm-smartbuy-sbe-td-03-04/" TargetMode="External"/><Relationship Id="rId_hyperlink_6641" Type="http://schemas.openxmlformats.org/officeDocument/2006/relationships/hyperlink" Target="https://optovikufa.ru/product/233357/kolodka-klemmnaya-6a-6mm-smartbuy-sbe-td-06-06/" TargetMode="External"/><Relationship Id="rId_hyperlink_6642" Type="http://schemas.openxmlformats.org/officeDocument/2006/relationships/hyperlink" Target="https://optovikufa.ru/product/233353/kolodka-klemmnaya-10a-10mm-smartbuy-sbe-td-10-10/" TargetMode="External"/><Relationship Id="rId_hyperlink_6643" Type="http://schemas.openxmlformats.org/officeDocument/2006/relationships/hyperlink" Target="https://optovikufa.ru/product/233354/kolodka-klemmnaya-15a-12mm-smartbuy-sbe-td-15-12-10/" TargetMode="External"/><Relationship Id="rId_hyperlink_6644" Type="http://schemas.openxmlformats.org/officeDocument/2006/relationships/hyperlink" Target="https://optovikufa.ru/product/236373/kolodka-klemmnaya-s-kryshkoy-12-kontakta-600v-25a-tb-2512/" TargetMode="External"/><Relationship Id="rId_hyperlink_6645" Type="http://schemas.openxmlformats.org/officeDocument/2006/relationships/hyperlink" Target="https://optovikufa.ru/product/241616/kolodka-klemmnaya-s-kryshkoy-12-kontaktov-600v-35a-tb-3512/" TargetMode="External"/><Relationship Id="rId_hyperlink_6646" Type="http://schemas.openxmlformats.org/officeDocument/2006/relationships/hyperlink" Target="https://optovikufa.ru/product/241617/kolodka-klemmnaya-s-kryshkoy-12-kontaktov-600v-45a-tb-4512/" TargetMode="External"/><Relationship Id="rId_hyperlink_6647" Type="http://schemas.openxmlformats.org/officeDocument/2006/relationships/hyperlink" Target="https://optovikufa.ru/product/238619/kolodka-klemmnaya-s-kryshkoy-3-kontakta-600v-100a-tb-10003/" TargetMode="External"/><Relationship Id="rId_hyperlink_6648" Type="http://schemas.openxmlformats.org/officeDocument/2006/relationships/hyperlink" Target="https://optovikufa.ru/product/236366/kolodka-klemmnaya-s-kryshkoy-3-kontakta-600v-15a-tb-1503/" TargetMode="External"/><Relationship Id="rId_hyperlink_6649" Type="http://schemas.openxmlformats.org/officeDocument/2006/relationships/hyperlink" Target="https://optovikufa.ru/product/238621/kolodka-klemmnaya-s-kryshkoy-3-kontakta-600v-45a-tb-4503/" TargetMode="External"/><Relationship Id="rId_hyperlink_6650" Type="http://schemas.openxmlformats.org/officeDocument/2006/relationships/hyperlink" Target="https://optovikufa.ru/product/238622/kolodka-klemmnaya-s-kryshkoy-3-kontakta-600v-60a-tbc-6003/" TargetMode="External"/><Relationship Id="rId_hyperlink_6651" Type="http://schemas.openxmlformats.org/officeDocument/2006/relationships/hyperlink" Target="https://optovikufa.ru/product/237936/kolodka-klemmnaya-s-kryshkoy-4-kontakta-600v-45a-tb-4504/" TargetMode="External"/><Relationship Id="rId_hyperlink_6652" Type="http://schemas.openxmlformats.org/officeDocument/2006/relationships/hyperlink" Target="https://optovikufa.ru/product/237937/kolodka-klemmnaya-s-kryshkoy-4-kontakta-600v-60a-tbc-6004/" TargetMode="External"/><Relationship Id="rId_hyperlink_6653" Type="http://schemas.openxmlformats.org/officeDocument/2006/relationships/hyperlink" Target="https://optovikufa.ru/product/236372/kolodka-klemmnaya-s-kryshkoy-6-kontaktov-600v-25a-tb-2506/" TargetMode="External"/><Relationship Id="rId_hyperlink_6654" Type="http://schemas.openxmlformats.org/officeDocument/2006/relationships/hyperlink" Target="https://optovikufa.ru/product/243145/nakonechnik-kolcevoy-neizolirovannyy-10mm-dj431-10a-d/" TargetMode="External"/><Relationship Id="rId_hyperlink_6655" Type="http://schemas.openxmlformats.org/officeDocument/2006/relationships/hyperlink" Target="https://optovikufa.ru/product/243146/nakonechnik-kolcevoy-neizolirovannyy-121mm-dj431-12b-c/" TargetMode="External"/><Relationship Id="rId_hyperlink_6656" Type="http://schemas.openxmlformats.org/officeDocument/2006/relationships/hyperlink" Target="https://optovikufa.ru/product/140816/nakonechnik-kolcevoy-neizolirovannyy-40mm-pod-provod-05-075mm-dj431-4a/" TargetMode="External"/><Relationship Id="rId_hyperlink_6657" Type="http://schemas.openxmlformats.org/officeDocument/2006/relationships/hyperlink" Target="https://optovikufa.ru/product/243147/nakonechnik-kolcevoy-neizolirovannyy-40mm-pod-provod-075-15mm-dj431-4b/" TargetMode="External"/><Relationship Id="rId_hyperlink_6658" Type="http://schemas.openxmlformats.org/officeDocument/2006/relationships/hyperlink" Target="https://optovikufa.ru/product/140820/nakonechnik-kolcevoy-neizolirovannyy-51mm-dj431-5abcd/" TargetMode="External"/><Relationship Id="rId_hyperlink_6659" Type="http://schemas.openxmlformats.org/officeDocument/2006/relationships/hyperlink" Target="https://optovikufa.ru/product/140826/nakonechnik-kolcevoy-neizolirovannyy-61mm-dj431-6abcd/" TargetMode="External"/><Relationship Id="rId_hyperlink_6660" Type="http://schemas.openxmlformats.org/officeDocument/2006/relationships/hyperlink" Target="https://optovikufa.ru/product/243148/nakonechnik-kolcevoy-neizolirovannyy-8mm-dj431-8a-d/" TargetMode="External"/><Relationship Id="rId_hyperlink_6661" Type="http://schemas.openxmlformats.org/officeDocument/2006/relationships/hyperlink" Target="https://optovikufa.ru/product/128449/gnezdo-ploskoe-28h05-izolyaciya-na-hvoste-krasnoe/" TargetMode="External"/><Relationship Id="rId_hyperlink_6662" Type="http://schemas.openxmlformats.org/officeDocument/2006/relationships/hyperlink" Target="https://optovikufa.ru/product/128450/gnezdo-ploskoe-28h05-izolyaciya-na-hvoste-sinee/" TargetMode="External"/><Relationship Id="rId_hyperlink_6663" Type="http://schemas.openxmlformats.org/officeDocument/2006/relationships/hyperlink" Target="https://optovikufa.ru/product/224572/nakonechnik-luzhenyy-tml-10-8-5/" TargetMode="External"/><Relationship Id="rId_hyperlink_6664" Type="http://schemas.openxmlformats.org/officeDocument/2006/relationships/hyperlink" Target="https://optovikufa.ru/product/147735/klemma-universalnaya-mnogorazovaya-2-provodnaya-do-25mm-general-gter1-02/" TargetMode="External"/><Relationship Id="rId_hyperlink_6665" Type="http://schemas.openxmlformats.org/officeDocument/2006/relationships/hyperlink" Target="https://optovikufa.ru/product/132946/klemma-universalnaya-mnogorazovaya-2-provodnaya-do-25mm-pct-212-cmk-412-wago-222-412-100/" TargetMode="External"/><Relationship Id="rId_hyperlink_6666" Type="http://schemas.openxmlformats.org/officeDocument/2006/relationships/hyperlink" Target="https://optovikufa.ru/product/240442/klemma-universalnaya-mnogorazovaya-2-provodnaya-do-25mm-pct-212-cmk-412-wago-222-412-komplekt-10sht/" TargetMode="External"/><Relationship Id="rId_hyperlink_6667" Type="http://schemas.openxmlformats.org/officeDocument/2006/relationships/hyperlink" Target="https://optovikufa.ru/product/240443/klemma-universalnaya-mnogorazovaya-2-provodnaya-do-25mm-pct-212-cmk-412-wago-222-412-komplekt-5sht/" TargetMode="External"/><Relationship Id="rId_hyperlink_6668" Type="http://schemas.openxmlformats.org/officeDocument/2006/relationships/hyperlink" Target="https://optovikufa.ru/product/240290/klemma-universalnaya-mnogorazovaya-2-provodnaya-do-25mm-pct-312/" TargetMode="External"/><Relationship Id="rId_hyperlink_6669" Type="http://schemas.openxmlformats.org/officeDocument/2006/relationships/hyperlink" Target="https://optovikufa.ru/product/240440/klemma-universalnaya-mnogorazovaya-3-provodnaya-do-25mm-pct-213-cmk-413-wago-222-413-komplekt-5sht/" TargetMode="External"/><Relationship Id="rId_hyperlink_6670" Type="http://schemas.openxmlformats.org/officeDocument/2006/relationships/hyperlink" Target="https://optovikufa.ru/product/237365/klemma-universalnaya-mnogorazovaya-3-provodnaya-do-25mm-pct-213-cmk-413-wago-222-413-upak-50sht/" TargetMode="External"/><Relationship Id="rId_hyperlink_6671" Type="http://schemas.openxmlformats.org/officeDocument/2006/relationships/hyperlink" Target="https://optovikufa.ru/product/240291/klemma-universalnaya-mnogorazovaya-3-provodnaya-do-25mm-pct-313/" TargetMode="External"/><Relationship Id="rId_hyperlink_6672" Type="http://schemas.openxmlformats.org/officeDocument/2006/relationships/hyperlink" Target="https://optovikufa.ru/product/236312/klemma-universalnaya-mnogorazovaya-prohodnaya-1-provodnaya-008-4mm2-sbe-ptcwss-1-50/" TargetMode="External"/><Relationship Id="rId_hyperlink_6673" Type="http://schemas.openxmlformats.org/officeDocument/2006/relationships/hyperlink" Target="https://optovikufa.ru/product/232654/klemma-universalnaya-mnogorazovaya-prohodnaya-3-provodnaya-do-25mm-pct-223/" TargetMode="External"/><Relationship Id="rId_hyperlink_6674" Type="http://schemas.openxmlformats.org/officeDocument/2006/relationships/hyperlink" Target="https://optovikufa.ru/product/237079/klemma-universalnaya-mnogorazovaya-prohodnaya-3-provodnaya-do-4mm-stekker-ld-222-430-5/" TargetMode="External"/><Relationship Id="rId_hyperlink_6675" Type="http://schemas.openxmlformats.org/officeDocument/2006/relationships/hyperlink" Target="https://optovikufa.ru/product/236006/stroitelno-montazhnaya-klemma-s-rychazhkami-1-2-polyusov-008-4mm2-prohodnaya-sbe-cwcc-1-2-5/" TargetMode="External"/><Relationship Id="rId_hyperlink_6676" Type="http://schemas.openxmlformats.org/officeDocument/2006/relationships/hyperlink" Target="https://optovikufa.ru/product/233544/stroitelno-montazhnaya-klemma-s-rychazhkami-3-6-polyusov-008-4mm2-prohodnaya-sbe-cwcc-3-6-5/" TargetMode="External"/><Relationship Id="rId_hyperlink_6677" Type="http://schemas.openxmlformats.org/officeDocument/2006/relationships/hyperlink" Target="https://optovikufa.ru/product/224549/klemma-universalnaya-odnorazovaya-2-provodnaya-sbe-pwco-2-50/" TargetMode="External"/><Relationship Id="rId_hyperlink_6678" Type="http://schemas.openxmlformats.org/officeDocument/2006/relationships/hyperlink" Target="https://optovikufa.ru/product/238577/skotch-lok-cw-2-soedinyaet-dva-provoda-s-secheniem-zhily-15-20mm-upak-5sh/" TargetMode="External"/><Relationship Id="rId_hyperlink_6679" Type="http://schemas.openxmlformats.org/officeDocument/2006/relationships/hyperlink" Target="https://optovikufa.ru/product/125670/shteker-cilindricheskiy-izolirovannyy-rshi-p-15-4-sechenie-05-15-mm-krasnyy/" TargetMode="External"/><Relationship Id="rId_hyperlink_6680" Type="http://schemas.openxmlformats.org/officeDocument/2006/relationships/hyperlink" Target="https://optovikufa.ru/product/224593/nakonechnik-vtulochnyy-nshvi-40mm-f9mm/" TargetMode="External"/><Relationship Id="rId_hyperlink_6681" Type="http://schemas.openxmlformats.org/officeDocument/2006/relationships/hyperlink" Target="https://optovikufa.ru/product/224587/nakonechnik-vtulochnyy-nshvi-60mm-f12mm/" TargetMode="External"/><Relationship Id="rId_hyperlink_6682" Type="http://schemas.openxmlformats.org/officeDocument/2006/relationships/hyperlink" Target="https://optovikufa.ru/product/227051/nakonechnik-vtulochnyy-nshvi-dvoynoy-2h10mm-288mm/" TargetMode="External"/><Relationship Id="rId_hyperlink_6683" Type="http://schemas.openxmlformats.org/officeDocument/2006/relationships/hyperlink" Target="https://optovikufa.ru/product/227046/korobka-raspredelitelnaya-op-757530-mm-ip42-belaya-schnaider-blnrk000011/" TargetMode="External"/><Relationship Id="rId_hyperlink_6684" Type="http://schemas.openxmlformats.org/officeDocument/2006/relationships/hyperlink" Target="https://optovikufa.ru/product/143548/korobka-raspredelitelnaya-op-808025-mm-ip-40-dlya-kabel-kanala-ruvinil-65005/" TargetMode="External"/><Relationship Id="rId_hyperlink_6685" Type="http://schemas.openxmlformats.org/officeDocument/2006/relationships/hyperlink" Target="https://optovikufa.ru/product/143552/korobka-raspredelitelnaya-op-808025-mm-ip-40-dlya-kabel-kanala-ruvinil-65005k/" TargetMode="External"/><Relationship Id="rId_hyperlink_6686" Type="http://schemas.openxmlformats.org/officeDocument/2006/relationships/hyperlink" Target="https://optovikufa.ru/product/129366/korobka-raspredelitelnaya-op-438035-mm-ip54-10-vvodov-ruvinil-67091/" TargetMode="External"/><Relationship Id="rId_hyperlink_6687" Type="http://schemas.openxmlformats.org/officeDocument/2006/relationships/hyperlink" Target="https://optovikufa.ru/product/227135/korobka-raspredelitelnaya-op-707040-mm-ip55-6-vvodov-s-kryshkoy-hegel-kr2605/" TargetMode="External"/><Relationship Id="rId_hyperlink_6688" Type="http://schemas.openxmlformats.org/officeDocument/2006/relationships/hyperlink" Target="https://optovikufa.ru/product/228566/korobka-raspredelitelnaya-op-858540-mm-ip55-6-vvodov-s-kryshkoy-hegel-kr2603/" TargetMode="External"/><Relationship Id="rId_hyperlink_6689" Type="http://schemas.openxmlformats.org/officeDocument/2006/relationships/hyperlink" Target="https://optovikufa.ru/product/227134/korobka-raspredelitelnaya-op-10010050-mm-ip55-7-vvodov-s-kryshkoy-hegel-kr2604/" TargetMode="External"/><Relationship Id="rId_hyperlink_6690" Type="http://schemas.openxmlformats.org/officeDocument/2006/relationships/hyperlink" Target="https://optovikufa.ru/product/143537/korobka-raspredelitelnaya-op-1208050-mm-ip54-6-vvodov-ruvinil-67051/" TargetMode="External"/><Relationship Id="rId_hyperlink_6691" Type="http://schemas.openxmlformats.org/officeDocument/2006/relationships/hyperlink" Target="https://optovikufa.ru/product/228483/korobka-raspredelitelnaya-op-6540-mm-ip55-4-vvoda-hegel-kr2601/" TargetMode="External"/><Relationship Id="rId_hyperlink_6692" Type="http://schemas.openxmlformats.org/officeDocument/2006/relationships/hyperlink" Target="https://optovikufa.ru/product/125308/korobka-raspredelitelnaya-op-757530-mm-s-klemn-belaya-hegel-krk2702/" TargetMode="External"/><Relationship Id="rId_hyperlink_6693" Type="http://schemas.openxmlformats.org/officeDocument/2006/relationships/hyperlink" Target="https://optovikufa.ru/product/228284/korobka-raspredelitelnaya-10210250-mm-10-vvodov-hegel-kr1101/" TargetMode="External"/><Relationship Id="rId_hyperlink_6694" Type="http://schemas.openxmlformats.org/officeDocument/2006/relationships/hyperlink" Target="https://optovikufa.ru/product/228274/korobka-raspredelitelnaya-sp-7014-mm-9-vvodov-hegel-u194/" TargetMode="External"/><Relationship Id="rId_hyperlink_6695" Type="http://schemas.openxmlformats.org/officeDocument/2006/relationships/hyperlink" Target="https://optovikufa.ru/product/124708/korobka-raspredelitelnaya-sp-7030-mm-5-vvodov-hegel-u195/" TargetMode="External"/><Relationship Id="rId_hyperlink_6696" Type="http://schemas.openxmlformats.org/officeDocument/2006/relationships/hyperlink" Target="https://optovikufa.ru/product/149454/korobka-raspredelitelnaya-sp-9614-mm-s-kryshkoy-hegel-u191/" TargetMode="External"/><Relationship Id="rId_hyperlink_6697" Type="http://schemas.openxmlformats.org/officeDocument/2006/relationships/hyperlink" Target="https://optovikufa.ru/product/149455/korobka-raspredelitelnaya-sp-9630-mm-7-vvodov-hegel-u-192/" TargetMode="External"/><Relationship Id="rId_hyperlink_6698" Type="http://schemas.openxmlformats.org/officeDocument/2006/relationships/hyperlink" Target="https://optovikufa.ru/product/129370/korobka-raspredelitelnaya-sp-10040-mm-hegel-u-198-kp1105/" TargetMode="External"/><Relationship Id="rId_hyperlink_6699" Type="http://schemas.openxmlformats.org/officeDocument/2006/relationships/hyperlink" Target="https://optovikufa.ru/product/129371/korobka-raspredelitelnaya-sp-11311345-mm-dlya-gk-hegel-kp1201/" TargetMode="External"/><Relationship Id="rId_hyperlink_6700" Type="http://schemas.openxmlformats.org/officeDocument/2006/relationships/hyperlink" Target="https://optovikufa.ru/product/228484/korobka-raspredelitelnaya-sp-12010050-mm-dlya-gk-hegel-kp1203/" TargetMode="External"/><Relationship Id="rId_hyperlink_6701" Type="http://schemas.openxmlformats.org/officeDocument/2006/relationships/hyperlink" Target="https://optovikufa.ru/product/149453/korobka-raspredelitelnaya-sp-86h45-mm-6-vvodov-plastikovye-lapki-hegel-kr1202/" TargetMode="External"/><Relationship Id="rId_hyperlink_6702" Type="http://schemas.openxmlformats.org/officeDocument/2006/relationships/hyperlink" Target="https://optovikufa.ru/product/136222/korobka-ustanovochnaya-6840-mm-6-vvodov-plastikovye-lapki-hegel-ku1203/" TargetMode="External"/><Relationship Id="rId_hyperlink_6703" Type="http://schemas.openxmlformats.org/officeDocument/2006/relationships/hyperlink" Target="https://optovikufa.ru/product/149460/korobka-ustanovochnaya-6845-mm-6-vvodov-metallicheskie-lapki-hegel-ku1202/" TargetMode="External"/><Relationship Id="rId_hyperlink_6704" Type="http://schemas.openxmlformats.org/officeDocument/2006/relationships/hyperlink" Target="https://optovikufa.ru/product/136223/korobka-ustanovochnaya-6845-mm-6-vvodov-plastikovye-lapki-hegel-ku1201-mku1201/" TargetMode="External"/><Relationship Id="rId_hyperlink_6705" Type="http://schemas.openxmlformats.org/officeDocument/2006/relationships/hyperlink" Target="https://optovikufa.ru/product/136221/korobka-ustanovochnaya-6840-mm-5-vvodov-hegel-ku1106/" TargetMode="External"/><Relationship Id="rId_hyperlink_6706" Type="http://schemas.openxmlformats.org/officeDocument/2006/relationships/hyperlink" Target="https://optovikufa.ru/product/174832/korobka-ustanovochnaya-blochnaya-6842-mm-7-vvodov-hegel-ku1101/" TargetMode="External"/><Relationship Id="rId_hyperlink_6707" Type="http://schemas.openxmlformats.org/officeDocument/2006/relationships/hyperlink" Target="https://optovikufa.ru/product/149462/korobka-ustanovochnaya-blochnaya-6862-mm-11-vvodov-hegel-ku1102/" TargetMode="External"/><Relationship Id="rId_hyperlink_6708" Type="http://schemas.openxmlformats.org/officeDocument/2006/relationships/hyperlink" Target="https://optovikufa.ru/product/241230/avtomaticheskiy-vyklyuchatel-model-1p-10a-45-ka-rx3-legrand-419662/" TargetMode="External"/><Relationship Id="rId_hyperlink_6709" Type="http://schemas.openxmlformats.org/officeDocument/2006/relationships/hyperlink" Target="https://optovikufa.ru/product/239774/avtomaticheskiy-vyklyuchatel-model-1p-10a-45-ka-h-ka-c-230v-systeme-electric-city-9-c9f34110/" TargetMode="External"/><Relationship Id="rId_hyperlink_6710" Type="http://schemas.openxmlformats.org/officeDocument/2006/relationships/hyperlink" Target="https://optovikufa.ru/product/241231/avtomaticheskiy-vyklyuchatel-model-1p-16a-45-ka-rx3-legrand-419664/" TargetMode="External"/><Relationship Id="rId_hyperlink_6711" Type="http://schemas.openxmlformats.org/officeDocument/2006/relationships/hyperlink" Target="https://optovikufa.ru/product/239775/avtomaticheskiy-vyklyuchatel-model-1p-16a-45-ka-h-ka-c-230v-systeme-electric-city-9-c9f34116/" TargetMode="External"/><Relationship Id="rId_hyperlink_6712" Type="http://schemas.openxmlformats.org/officeDocument/2006/relationships/hyperlink" Target="https://optovikufa.ru/product/241232/avtomaticheskiy-vyklyuchatel-model-1p-20a-45-ka-rx3-legrand-419665/" TargetMode="External"/><Relationship Id="rId_hyperlink_6713" Type="http://schemas.openxmlformats.org/officeDocument/2006/relationships/hyperlink" Target="https://optovikufa.ru/product/241233/avtomaticheskiy-vyklyuchatel-model-1p-25a-45-ka-rx3-legrand-419666/" TargetMode="External"/><Relationship Id="rId_hyperlink_6714" Type="http://schemas.openxmlformats.org/officeDocument/2006/relationships/hyperlink" Target="https://optovikufa.ru/product/239776/avtomaticheskiy-vyklyuchatel-model-1p-25a-45-ka-h-ka-c-230v-systeme-electric-city-9-c9f34125/" TargetMode="External"/><Relationship Id="rId_hyperlink_6715" Type="http://schemas.openxmlformats.org/officeDocument/2006/relationships/hyperlink" Target="https://optovikufa.ru/product/241234/avtomaticheskiy-vyklyuchatel-model-1p-32a-45-ka-rx3-legrand-419667/" TargetMode="External"/><Relationship Id="rId_hyperlink_6716" Type="http://schemas.openxmlformats.org/officeDocument/2006/relationships/hyperlink" Target="https://optovikufa.ru/product/143554/avtomaticheskiy-vyklyuchatel-model-1p-s-6a-va-47-63-45-ka-ekf-proxima-mcd4763-1-6c-pro-rossiya/" TargetMode="External"/><Relationship Id="rId_hyperlink_6717" Type="http://schemas.openxmlformats.org/officeDocument/2006/relationships/hyperlink" Target="https://optovikufa.ru/product/143570/avtomaticheskiy-vyklyuchatel-model-1p-s-10a-va-47-63-45-ka-ekf-proxima-mcd4763-1-10c-pro-rossiya/" TargetMode="External"/><Relationship Id="rId_hyperlink_6718" Type="http://schemas.openxmlformats.org/officeDocument/2006/relationships/hyperlink" Target="https://optovikufa.ru/product/143568/avtomaticheskiy-vyklyuchatel-model-1p-s-16a-va-47-63-45-ka-ekf-proxima-mcd4763-1-16c-pro-rossiya/" TargetMode="External"/><Relationship Id="rId_hyperlink_6719" Type="http://schemas.openxmlformats.org/officeDocument/2006/relationships/hyperlink" Target="https://optovikufa.ru/product/143569/avtomaticheskiy-vyklyuchatel-model-1p-s-20a-va-47-63-45-ka-ekf-proxima-mcd4763-1-20c-pro-rossiya/" TargetMode="External"/><Relationship Id="rId_hyperlink_6720" Type="http://schemas.openxmlformats.org/officeDocument/2006/relationships/hyperlink" Target="https://optovikufa.ru/product/143571/avtomaticheskiy-vyklyuchatel-model-1p-s-25a-va-47-63-45-ka-ekf-proxima-mcd4763-1-25c-pro-rossiya/" TargetMode="External"/><Relationship Id="rId_hyperlink_6721" Type="http://schemas.openxmlformats.org/officeDocument/2006/relationships/hyperlink" Target="https://optovikufa.ru/product/143553/avtomaticheskiy-vyklyuchatel-model-1p-s-32a-va-47-63-45-ka-ekf-proxima-mcd4763-1-32c-pro-rossiya/" TargetMode="External"/><Relationship Id="rId_hyperlink_6722" Type="http://schemas.openxmlformats.org/officeDocument/2006/relationships/hyperlink" Target="https://optovikufa.ru/product/127051/avtomaticheskiy-vyklyuchatel-model-1p-s-40a-va-47-63-45-ka-ekf-proxima-mcd4763-1-40c-pro-rossiya/" TargetMode="External"/><Relationship Id="rId_hyperlink_6723" Type="http://schemas.openxmlformats.org/officeDocument/2006/relationships/hyperlink" Target="https://optovikufa.ru/product/127052/avtomaticheskiy-vyklyuchatel-model-1p-s-63a-va-47-63-45-ka-ekf-proxima-mcd4763-1-63c-pro-rossiya/" TargetMode="External"/><Relationship Id="rId_hyperlink_6724" Type="http://schemas.openxmlformats.org/officeDocument/2006/relationships/hyperlink" Target="https://optovikufa.ru/product/239777/avtomaticheskiy-vyklyuchatel-model-2p-16a-45-ka-h-ka-c-230v-systeme-electric-city-9-c9f34216/" TargetMode="External"/><Relationship Id="rId_hyperlink_6725" Type="http://schemas.openxmlformats.org/officeDocument/2006/relationships/hyperlink" Target="https://optovikufa.ru/product/239778/avtomaticheskiy-vyklyuchatel-model-2p-25a-45-ka-h-ka-c-230v-systeme-electric-city-9-c9f34225/" TargetMode="External"/><Relationship Id="rId_hyperlink_6726" Type="http://schemas.openxmlformats.org/officeDocument/2006/relationships/hyperlink" Target="https://optovikufa.ru/product/239779/avtomaticheskiy-vyklyuchatel-model-2p-32a-45-ka-h-ka-c-230v-systeme-electric-city-9-c9f34232/" TargetMode="External"/><Relationship Id="rId_hyperlink_6727" Type="http://schemas.openxmlformats.org/officeDocument/2006/relationships/hyperlink" Target="https://optovikufa.ru/product/143575/avtomaticheskiy-vyklyuchatel-model-2p-s-10a-va-47-63-45-ka-ekf-proxima-mcd4763-2-10c-pro-rossiya/" TargetMode="External"/><Relationship Id="rId_hyperlink_6728" Type="http://schemas.openxmlformats.org/officeDocument/2006/relationships/hyperlink" Target="https://optovikufa.ru/product/143572/avtomaticheskiy-vyklyuchatel-model-2p-s-16a-va-47-63-45-ka-ekf-proxima-mcd4763-2-16c-pro-rossiya/" TargetMode="External"/><Relationship Id="rId_hyperlink_6729" Type="http://schemas.openxmlformats.org/officeDocument/2006/relationships/hyperlink" Target="https://optovikufa.ru/product/143574/avtomaticheskiy-vyklyuchatel-model-2p-s-20a-va-47-63-45-ka-ekf-proxima-mcd4763-2-20c-pro-rossiya/" TargetMode="External"/><Relationship Id="rId_hyperlink_6730" Type="http://schemas.openxmlformats.org/officeDocument/2006/relationships/hyperlink" Target="https://optovikufa.ru/product/143573/avtomaticheskiy-vyklyuchatel-model-2p-s-25a-va-47-63-45-ka-ekf-proxima-mcd4763-2-25c-pro-rossiya/" TargetMode="External"/><Relationship Id="rId_hyperlink_6731" Type="http://schemas.openxmlformats.org/officeDocument/2006/relationships/hyperlink" Target="https://optovikufa.ru/product/132483/avtomaticheskiy-vyklyuchatel-model-2p-s-32a-va-47-63-45-ka-ekf-proxima-mcd4763-2-32c-pro-rossiya/" TargetMode="External"/><Relationship Id="rId_hyperlink_6732" Type="http://schemas.openxmlformats.org/officeDocument/2006/relationships/hyperlink" Target="https://optovikufa.ru/product/241851/avtomaticheskiy-vyklyuchatel-model-2p-s-40a-va-47-63-45-ka-ekf-proxima-mcd4763-2-40c-pro-rossiya/" TargetMode="External"/><Relationship Id="rId_hyperlink_6733" Type="http://schemas.openxmlformats.org/officeDocument/2006/relationships/hyperlink" Target="https://optovikufa.ru/product/240910/avtomaticheskiy-vyklyuchatel-model-2p-s-63a-va-47-63-45-ka-ekf-proxima-mcd4763-2-63c-pro-rossiya/" TargetMode="External"/><Relationship Id="rId_hyperlink_6734" Type="http://schemas.openxmlformats.org/officeDocument/2006/relationships/hyperlink" Target="https://optovikufa.ru/product/143577/avtomaticheskiy-vyklyuchatel-model-3p-s-16a-va-47-63-45-ka-ekf-proxima-mcd4763-3-16c-pro-rossiya/" TargetMode="External"/><Relationship Id="rId_hyperlink_6735" Type="http://schemas.openxmlformats.org/officeDocument/2006/relationships/hyperlink" Target="https://optovikufa.ru/product/143576/avtomaticheskiy-vyklyuchatel-model-3p-s-20a-va-47-63-45-ka-ekf-proxima-mcd4763-3-20c-pro-rossiya/" TargetMode="External"/><Relationship Id="rId_hyperlink_6736" Type="http://schemas.openxmlformats.org/officeDocument/2006/relationships/hyperlink" Target="https://optovikufa.ru/product/143578/avtomaticheskiy-vyklyuchatel-model-3p-s-25a-va-47-63-45-ka-ekf-proxima-mcd4763-3-25c-pro-rossiya/" TargetMode="External"/><Relationship Id="rId_hyperlink_6737" Type="http://schemas.openxmlformats.org/officeDocument/2006/relationships/hyperlink" Target="https://optovikufa.ru/product/143579/avtomaticheskiy-vyklyuchatel-model-3p-s-32a-va-47-63-45-ka-ekf-proxima-mcd4763-3-32c-pro-rossiya/" TargetMode="External"/><Relationship Id="rId_hyperlink_6738" Type="http://schemas.openxmlformats.org/officeDocument/2006/relationships/hyperlink" Target="https://optovikufa.ru/product/241852/avtomaticheskiy-vyklyuchatel-model-3p-s-40a-va-47-63-45-ka-ekf-proxima-mcd4763-3-40c-pro-rossiya/" TargetMode="External"/><Relationship Id="rId_hyperlink_6739" Type="http://schemas.openxmlformats.org/officeDocument/2006/relationships/hyperlink" Target="https://optovikufa.ru/product/240911/avtomaticheskiy-vyklyuchatel-model-3p-s-63a-va-47-63-45-ka-ekf-proxima-mcd4763-3-63c-pro-rossiya/" TargetMode="External"/><Relationship Id="rId_hyperlink_6740" Type="http://schemas.openxmlformats.org/officeDocument/2006/relationships/hyperlink" Target="https://optovikufa.ru/product/237121/zaglushka-dlya-znb-16mm-jxb-up-5-shtuk/" TargetMode="External"/><Relationship Id="rId_hyperlink_6741" Type="http://schemas.openxmlformats.org/officeDocument/2006/relationships/hyperlink" Target="https://optovikufa.ru/product/237120/zaglushka-dlya-znb-25mm-jxb-up-5-shtuk/" TargetMode="External"/><Relationship Id="rId_hyperlink_6742" Type="http://schemas.openxmlformats.org/officeDocument/2006/relationships/hyperlink" Target="https://optovikufa.ru/product/237118/zaglushka-dlya-znb-35mm-jxb-up-5-shtuk/" TargetMode="External"/><Relationship Id="rId_hyperlink_6743" Type="http://schemas.openxmlformats.org/officeDocument/2006/relationships/hyperlink" Target="https://optovikufa.ru/product/237119/zaglushka-dlya-znb-4-6-10mm-jxb-up-5-shtuk/" TargetMode="External"/><Relationship Id="rId_hyperlink_6744" Type="http://schemas.openxmlformats.org/officeDocument/2006/relationships/hyperlink" Target="https://optovikufa.ru/product/229129/zazhim-nabornyy-35a-4-mm-jxb-seryy-smartbuy/" TargetMode="External"/><Relationship Id="rId_hyperlink_6745" Type="http://schemas.openxmlformats.org/officeDocument/2006/relationships/hyperlink" Target="https://optovikufa.ru/product/229130/zazhim-nabornyy-35a-4-mm-jxb-siniy-smartbuy/" TargetMode="External"/><Relationship Id="rId_hyperlink_6746" Type="http://schemas.openxmlformats.org/officeDocument/2006/relationships/hyperlink" Target="https://optovikufa.ru/product/229132/zazhim-nabornyy-50a-6-mm-jxb-seryy-smartbuy/" TargetMode="External"/><Relationship Id="rId_hyperlink_6747" Type="http://schemas.openxmlformats.org/officeDocument/2006/relationships/hyperlink" Target="https://optovikufa.ru/product/229133/zazhim-nabornyy-50a-6-mm-jxb-siniy-smartbuy/" TargetMode="External"/><Relationship Id="rId_hyperlink_6748" Type="http://schemas.openxmlformats.org/officeDocument/2006/relationships/hyperlink" Target="https://optovikufa.ru/product/229120/zazhim-nabornyy-70a-10-mm-jxb-seryy-smartbuy/" TargetMode="External"/><Relationship Id="rId_hyperlink_6749" Type="http://schemas.openxmlformats.org/officeDocument/2006/relationships/hyperlink" Target="https://optovikufa.ru/product/229121/zazhim-nabornyy-70a-10-mm-jxb-siniy-smartbuy/" TargetMode="External"/><Relationship Id="rId_hyperlink_6750" Type="http://schemas.openxmlformats.org/officeDocument/2006/relationships/hyperlink" Target="https://optovikufa.ru/product/229122/zazhim-nabornyy-90a-16-mm-jxb-seryy-smartbuy/" TargetMode="External"/><Relationship Id="rId_hyperlink_6751" Type="http://schemas.openxmlformats.org/officeDocument/2006/relationships/hyperlink" Target="https://optovikufa.ru/product/229123/zazhim-nabornyy-90a-16-mm-jxb-siniy-smartbuy/" TargetMode="External"/><Relationship Id="rId_hyperlink_6752" Type="http://schemas.openxmlformats.org/officeDocument/2006/relationships/hyperlink" Target="https://optovikufa.ru/product/229128/zazhim-nabornyy-zemlya-35a-4-mm-jxb-smartbuy/" TargetMode="External"/><Relationship Id="rId_hyperlink_6753" Type="http://schemas.openxmlformats.org/officeDocument/2006/relationships/hyperlink" Target="https://optovikufa.ru/product/229131/zazhim-nabornyy-zemlya-50a-6-mm-jxb-smartbuy/" TargetMode="External"/><Relationship Id="rId_hyperlink_6754" Type="http://schemas.openxmlformats.org/officeDocument/2006/relationships/hyperlink" Target="https://optovikufa.ru/product/229119/zazhim-nabornyy-zemlya-70a-10-mm-jxb-smartbuy/" TargetMode="External"/><Relationship Id="rId_hyperlink_6755" Type="http://schemas.openxmlformats.org/officeDocument/2006/relationships/hyperlink" Target="https://optovikufa.ru/product/126837/vyklyuchatel-avt-dif-toka-1pn-2mod-s-16a-30ma-tip-as-45ka-ad-32-proxima-ekf-da32-16-30-pro/" TargetMode="External"/><Relationship Id="rId_hyperlink_6756" Type="http://schemas.openxmlformats.org/officeDocument/2006/relationships/hyperlink" Target="https://optovikufa.ru/product/241229/vyklyuchatel-avt-dif-toka-2p-1pn-c-25a-30ma-tip-as-6ka-rx3-legrand-419401/" TargetMode="External"/><Relationship Id="rId_hyperlink_6757" Type="http://schemas.openxmlformats.org/officeDocument/2006/relationships/hyperlink" Target="https://optovikufa.ru/product/237759/rozetka-modulnaya-rm-105-16a-220v-2p-pen-na-din-reyku-dekraft-18012dek/" TargetMode="External"/><Relationship Id="rId_hyperlink_6758" Type="http://schemas.openxmlformats.org/officeDocument/2006/relationships/hyperlink" Target="https://optovikufa.ru/product/228163/puskatel-elektromagnitnyy-pml-2160dm-25a-230v-ekf-basic-pml-s-25-230-basic/" TargetMode="External"/><Relationship Id="rId_hyperlink_6759" Type="http://schemas.openxmlformats.org/officeDocument/2006/relationships/hyperlink" Target="https://optovikufa.ru/product/243033/indikator-faz-svetovoy-iek-mif10-400/" TargetMode="External"/><Relationship Id="rId_hyperlink_6760" Type="http://schemas.openxmlformats.org/officeDocument/2006/relationships/hyperlink" Target="https://optovikufa.ru/product/224706/rele-promezhutochnoe-rp-223-5a-24v-ac-ekf-rp-22-3-24/" TargetMode="External"/><Relationship Id="rId_hyperlink_6761" Type="http://schemas.openxmlformats.org/officeDocument/2006/relationships/hyperlink" Target="https://optovikufa.ru/product/217904/vyklyuchatel-knopochnyy-s-blokirovkoy-tdm-vkn-316-3p-16a-230400v-ip40-sq0716-0002/" TargetMode="External"/><Relationship Id="rId_hyperlink_6762" Type="http://schemas.openxmlformats.org/officeDocument/2006/relationships/hyperlink" Target="https://optovikufa.ru/product/217905/vyklyuchatel-knopochnyy-s-blokirovkoy-tdm-vkn-325-3p-25a-230400v-ip40-sq0716-0003/" TargetMode="External"/><Relationship Id="rId_hyperlink_6763" Type="http://schemas.openxmlformats.org/officeDocument/2006/relationships/hyperlink" Target="https://optovikufa.ru/product/224796/pereklyuchatel-knopochnyy-3sa12-22e-11bswd-pusk-stop-10a-600vmax-s-neonovoy-podsvetkoy-220v-ovalnyy/" TargetMode="External"/><Relationship Id="rId_hyperlink_6764" Type="http://schemas.openxmlformats.org/officeDocument/2006/relationships/hyperlink" Target="https://optovikufa.ru/product/240409/pereklyuchatel-knopochnyy-la42-11h/" TargetMode="External"/><Relationship Id="rId_hyperlink_6765" Type="http://schemas.openxmlformats.org/officeDocument/2006/relationships/hyperlink" Target="https://optovikufa.ru/product/234672/datchik-gaza-wi-fi-navigator-smart-nsh-snr-02/" TargetMode="External"/><Relationship Id="rId_hyperlink_6766" Type="http://schemas.openxmlformats.org/officeDocument/2006/relationships/hyperlink" Target="https://optovikufa.ru/product/171719/datchik-dyma-wi-fi-navigator-nsh-snr-s001-wifi/" TargetMode="External"/><Relationship Id="rId_hyperlink_6767" Type="http://schemas.openxmlformats.org/officeDocument/2006/relationships/hyperlink" Target="https://optovikufa.ru/product/237939/datchik-otkrytiya-dverey-w-ifi-navigator-nsh-snr-d01-wifi/" TargetMode="External"/><Relationship Id="rId_hyperlink_6768" Type="http://schemas.openxmlformats.org/officeDocument/2006/relationships/hyperlink" Target="https://optovikufa.ru/product/237940/datchik-protechki-vody-w-ifi-navigator-nsh-snr-w01-wifi/" TargetMode="External"/><Relationship Id="rId_hyperlink_6769" Type="http://schemas.openxmlformats.org/officeDocument/2006/relationships/hyperlink" Target="https://optovikufa.ru/product/236688/umnaya-rozetka-besprovodnaya-svyaz-wi-fi-1-gnezdo-220v-16a-2usb/" TargetMode="External"/><Relationship Id="rId_hyperlink_6770" Type="http://schemas.openxmlformats.org/officeDocument/2006/relationships/hyperlink" Target="https://optovikufa.ru/product/236687/umnyy-vyklyuchatel-besprovodnaya-svyaz-wi-fi-1-kn-sensor-240v-10a-do-13kvt/" TargetMode="External"/><Relationship Id="rId_hyperlink_6771" Type="http://schemas.openxmlformats.org/officeDocument/2006/relationships/hyperlink" Target="https://optovikufa.ru/product/239122/elektromagnitnyy-zamok-12v-350ma-27527169mm/" TargetMode="External"/><Relationship Id="rId_hyperlink_6772" Type="http://schemas.openxmlformats.org/officeDocument/2006/relationships/hyperlink" Target="https://optovikufa.ru/product/239123/elektromagnitnyy-zamok-12v-600ma-541413278mm/" TargetMode="External"/><Relationship Id="rId_hyperlink_6773" Type="http://schemas.openxmlformats.org/officeDocument/2006/relationships/hyperlink" Target="https://optovikufa.ru/product/242658/termostat-nc-obogrev-na-din-reyku-10a-230v-ip20-tnc10m-ekf-proxima/" TargetMode="External"/><Relationship Id="rId_hyperlink_6774" Type="http://schemas.openxmlformats.org/officeDocument/2006/relationships/hyperlink" Target="https://optovikufa.ru/product/241136/termostat-dlya-teplogo-pola-mehanicheskiy-16a-250v-basic/" TargetMode="External"/><Relationship Id="rId_hyperlink_6775" Type="http://schemas.openxmlformats.org/officeDocument/2006/relationships/hyperlink" Target="https://optovikufa.ru/product/241137/termostat-elektronnyy-16a-230v-programmiruemyy-ett-1-ekf-proxima/" TargetMode="External"/><Relationship Id="rId_hyperlink_6776" Type="http://schemas.openxmlformats.org/officeDocument/2006/relationships/hyperlink" Target="https://optovikufa.ru/product/224715/rele-kontrolya-napryazheniya-robiton-ph-1-bl-1/" TargetMode="External"/><Relationship Id="rId_hyperlink_6777" Type="http://schemas.openxmlformats.org/officeDocument/2006/relationships/hyperlink" Target="https://optovikufa.ru/product/230862/rele-kontrolya-napryazheniya-robiton-ph-3-bl-1/" TargetMode="External"/><Relationship Id="rId_hyperlink_6778" Type="http://schemas.openxmlformats.org/officeDocument/2006/relationships/hyperlink" Target="https://optovikufa.ru/product/239441/rele-kontrolya-napryazheniya-robiton-ph-4-bl-1/" TargetMode="External"/><Relationship Id="rId_hyperlink_6779" Type="http://schemas.openxmlformats.org/officeDocument/2006/relationships/hyperlink" Target="https://optovikufa.ru/product/239442/rele-kontrolya-napryazheniya-robiton-ph-5-bl-1/" TargetMode="External"/><Relationship Id="rId_hyperlink_6780" Type="http://schemas.openxmlformats.org/officeDocument/2006/relationships/hyperlink" Target="https://optovikufa.ru/product/224717/ustroystvo-zaschitnogo-otklyucheniya-robiton-uzo-1-v-rozetku/" TargetMode="External"/><Relationship Id="rId_hyperlink_6781" Type="http://schemas.openxmlformats.org/officeDocument/2006/relationships/hyperlink" Target="https://optovikufa.ru/product/174480/taymer-mehanicheskiy-robiton-me-01-vremya-nastroyki-15-min-24-ch-16a-3600vt/" TargetMode="External"/><Relationship Id="rId_hyperlink_6782" Type="http://schemas.openxmlformats.org/officeDocument/2006/relationships/hyperlink" Target="https://optovikufa.ru/product/174482/taymer-mehanicheskiy-robiton-me-03-vlagozaschischennyy-podhodit-dlya-naruzhnogo-ispolzovaniya-programmirovanie-na-24-chasa-pozvolyaet-nastroit-vklyuchenie-i-vyklyuchenie-priborov-s-tochnostyu-do-15-min/" TargetMode="External"/><Relationship Id="rId_hyperlink_6783" Type="http://schemas.openxmlformats.org/officeDocument/2006/relationships/hyperlink" Target="https://optovikufa.ru/product/224725/taymer-mehanicheskiy-robiton-me-04/" TargetMode="External"/><Relationship Id="rId_hyperlink_6784" Type="http://schemas.openxmlformats.org/officeDocument/2006/relationships/hyperlink" Target="https://optovikufa.ru/product/224823/taymer-elektronnyy-vremya-nastroyki-24ch-nedelya-16a-3600vt-20-programm-robiton-el-03/" TargetMode="External"/><Relationship Id="rId_hyperlink_6785" Type="http://schemas.openxmlformats.org/officeDocument/2006/relationships/hyperlink" Target="https://optovikufa.ru/product/173029/taymer-elektronnyy-vremya-nastroyki-24ch-nedelya-16a-3600vt-robiton-el-02/" TargetMode="External"/><Relationship Id="rId_hyperlink_6786" Type="http://schemas.openxmlformats.org/officeDocument/2006/relationships/hyperlink" Target="https://optovikufa.ru/product/174479/taymer-elektronnyy-vremya-nastroyki-24ch-nedelya-16a-3600vt-kompaktnyy-robiton-el-01/" TargetMode="External"/><Relationship Id="rId_hyperlink_6787" Type="http://schemas.openxmlformats.org/officeDocument/2006/relationships/hyperlink" Target="https://optovikufa.ru/product/228056/taymer-elektronnyy-vremya-nastroyki-24ch-nedelya-16a-3600vt-podsvetka-robiton-el-04/" TargetMode="External"/><Relationship Id="rId_hyperlink_6788" Type="http://schemas.openxmlformats.org/officeDocument/2006/relationships/hyperlink" Target="https://optovikufa.ru/product/238361/boks-schrv-p-12-moduley-vstraivaemyy-plastik-ip41-generial/" TargetMode="External"/><Relationship Id="rId_hyperlink_6789" Type="http://schemas.openxmlformats.org/officeDocument/2006/relationships/hyperlink" Target="https://optovikufa.ru/product/145850/schit-raspredelitelnyy-schrv-p-10-ip40-ekf-pb40-v-10/" TargetMode="External"/><Relationship Id="rId_hyperlink_6790" Type="http://schemas.openxmlformats.org/officeDocument/2006/relationships/hyperlink" Target="https://optovikufa.ru/product/238358/boks-schrn-p-6-moduley-navesnoy-plastik-ip41-generica/" TargetMode="External"/><Relationship Id="rId_hyperlink_6791" Type="http://schemas.openxmlformats.org/officeDocument/2006/relationships/hyperlink" Target="https://optovikufa.ru/product/238359/boks-schrn-p-8-moduley-navesnoy-plastik-ip41-generial/" TargetMode="External"/><Relationship Id="rId_hyperlink_6792" Type="http://schemas.openxmlformats.org/officeDocument/2006/relationships/hyperlink" Target="https://optovikufa.ru/product/241216/schit-na-12-moduley-nakladnoy-plastik-schrn-p-12-generica-mkr12-n-12-41-g/" TargetMode="External"/><Relationship Id="rId_hyperlink_6793" Type="http://schemas.openxmlformats.org/officeDocument/2006/relationships/hyperlink" Target="https://optovikufa.ru/product/241201/schit-na-18-moduley-nakladnoy-plastik-schrn-p-18-iek-mkp12-n-18-41-g/" TargetMode="External"/><Relationship Id="rId_hyperlink_6794" Type="http://schemas.openxmlformats.org/officeDocument/2006/relationships/hyperlink" Target="https://optovikufa.ru/product/177439/schit-na-2-modulya-nakladnoy-plastik-kmpn-12-ip30-iek-mkr31-n-02-30-252/" TargetMode="External"/><Relationship Id="rId_hyperlink_6795" Type="http://schemas.openxmlformats.org/officeDocument/2006/relationships/hyperlink" Target="https://optovikufa.ru/product/128240/schit-na-2-modulya-nakladnoy-plastik-kmpn-22-ip30-iek-mkr42-n-02-30-20/" TargetMode="External"/><Relationship Id="rId_hyperlink_6796" Type="http://schemas.openxmlformats.org/officeDocument/2006/relationships/hyperlink" Target="https://optovikufa.ru/product/177435/schit-na-4-modulya-nakladnoy-plastik-kmpn-24-ip30-iek-mkr42-n-04-30-12/" TargetMode="External"/><Relationship Id="rId_hyperlink_6797" Type="http://schemas.openxmlformats.org/officeDocument/2006/relationships/hyperlink" Target="https://optovikufa.ru/product/145849/schit-na-9-moduley-nakladnoy-plastik-kmpn-29-1-ip31-iek-mkr42-n-09-31-01/" TargetMode="External"/><Relationship Id="rId_hyperlink_6798" Type="http://schemas.openxmlformats.org/officeDocument/2006/relationships/hyperlink" Target="https://optovikufa.ru/product/217859/schit-na-9-moduley-nakladnoy-plastik-kmpn-29-2-ip31-iek-mkr42-n-09-31-02/" TargetMode="External"/><Relationship Id="rId_hyperlink_6799" Type="http://schemas.openxmlformats.org/officeDocument/2006/relationships/hyperlink" Target="https://optovikufa.ru/product/141787/din-reyka-10-sm/" TargetMode="External"/><Relationship Id="rId_hyperlink_6800" Type="http://schemas.openxmlformats.org/officeDocument/2006/relationships/hyperlink" Target="https://optovikufa.ru/product/127057/din-reyka-20-sm/" TargetMode="External"/><Relationship Id="rId_hyperlink_6801" Type="http://schemas.openxmlformats.org/officeDocument/2006/relationships/hyperlink" Target="https://optovikufa.ru/product/237071/shina-n-nulevaya-latun-6h9mm-12-grupp-krepezh-po-centru-smartbuy-sbe-bc-12/" TargetMode="External"/><Relationship Id="rId_hyperlink_6802" Type="http://schemas.openxmlformats.org/officeDocument/2006/relationships/hyperlink" Target="https://optovikufa.ru/product/237072/shina-n-nulevaya-latun-6h9mm-14-grupp-krepezh-po-centru-smartbuy-sbe-bc-14/" TargetMode="External"/><Relationship Id="rId_hyperlink_6803" Type="http://schemas.openxmlformats.org/officeDocument/2006/relationships/hyperlink" Target="https://optovikufa.ru/product/229135/shina-n-nulevaya-latun-6h9mm-8-grupp-krepezh-po-centru-smartbuy/" TargetMode="External"/><Relationship Id="rId_hyperlink_6804" Type="http://schemas.openxmlformats.org/officeDocument/2006/relationships/hyperlink" Target="https://optovikufa.ru/product/237075/shina-n-nulevaya-latun-v-izolyatore-na-din-reyku-6x9mm-10-grupp-smartbuy-sbe-bc-10-dri/" TargetMode="External"/><Relationship Id="rId_hyperlink_6805" Type="http://schemas.openxmlformats.org/officeDocument/2006/relationships/hyperlink" Target="https://optovikufa.ru/product/229140/shina-n-nulevaya-latun-v-izolyatore-na-din-reyku-6x9mm-8-grupp-smartbuy-sbe-bc-8-dri/" TargetMode="External"/><Relationship Id="rId_hyperlink_6806" Type="http://schemas.openxmlformats.org/officeDocument/2006/relationships/hyperlink" Target="https://optovikufa.ru/product/237064/shina-n-nulevaya-latun-na-dvuh-ugl-izolyatorah-6x9mm-10-grupp-smartbuy-sbe-bc-10-2i/" TargetMode="External"/><Relationship Id="rId_hyperlink_6807" Type="http://schemas.openxmlformats.org/officeDocument/2006/relationships/hyperlink" Target="https://optovikufa.ru/product/237068/shina-n-nulevaya-latun-na-dvuh-ugl-izolyatorah-6x9mm-12-grupp-smartbuy-sbe-bc-12-2i/" TargetMode="External"/><Relationship Id="rId_hyperlink_6808" Type="http://schemas.openxmlformats.org/officeDocument/2006/relationships/hyperlink" Target="https://optovikufa.ru/product/237069/shina-n-nulevaya-latun-na-dvuh-ugl-izolyatorah-6x9mm-14-grupp-smartbuy-sbe-bc-14-2i/" TargetMode="External"/><Relationship Id="rId_hyperlink_6809" Type="http://schemas.openxmlformats.org/officeDocument/2006/relationships/hyperlink" Target="https://optovikufa.ru/product/237070/shina-n-nulevaya-latun-na-dvuh-ugl-izolyatorah-6x9mm-8-grupp-smartbuy-sbe-bc-8-2i/" TargetMode="External"/><Relationship Id="rId_hyperlink_6810" Type="http://schemas.openxmlformats.org/officeDocument/2006/relationships/hyperlink" Target="https://optovikufa.ru/product/229137/shina-n-nulevaya-latun-s-izolyatorom-na-din-reyku-6x9mm-12-grupp-smartbuy-sbe-bc-12-dr/" TargetMode="External"/><Relationship Id="rId_hyperlink_6811" Type="http://schemas.openxmlformats.org/officeDocument/2006/relationships/hyperlink" Target="https://optovikufa.ru/product/229138/shina-n-nulevaya-latun-s-izolyatorom-na-din-reyku-6x9mm-14-grupp-smartbuy/" TargetMode="External"/><Relationship Id="rId_hyperlink_6812" Type="http://schemas.openxmlformats.org/officeDocument/2006/relationships/hyperlink" Target="https://optovikufa.ru/product/229139/shina-n-nulevaya-latun-s-izolyatorom-na-din-reyku-6x9mm-6-grupp-smartbuy-sbe-bc-6-dr/" TargetMode="External"/><Relationship Id="rId_hyperlink_6813" Type="http://schemas.openxmlformats.org/officeDocument/2006/relationships/hyperlink" Target="https://optovikufa.ru/product/229134/shina-n-nulevaya-latun-s-izolyatorom-na-din-reyku-6x9mm-8-grupp-smartbuy-sbe-bc-8-dr/" TargetMode="External"/><Relationship Id="rId_hyperlink_6814" Type="http://schemas.openxmlformats.org/officeDocument/2006/relationships/hyperlink" Target="https://optovikufa.ru/product/159398/shina-n-nulevaya-69mm-12-grupp-na-izolyatore-63a-ekf-sn0-63-12-d/" TargetMode="External"/><Relationship Id="rId_hyperlink_6815" Type="http://schemas.openxmlformats.org/officeDocument/2006/relationships/hyperlink" Target="https://optovikufa.ru/product/159400/shina-n-nulevaya-69mm-8-grupp-na-izolyatore-63a-ekf-sn0-63-08-d/" TargetMode="External"/><Relationship Id="rId_hyperlink_6816" Type="http://schemas.openxmlformats.org/officeDocument/2006/relationships/hyperlink" Target="https://optovikufa.ru/product/225455/shina-soedinitelnaya-tipa-pin-smartbuy-shtyr-1p-63a-1m/" TargetMode="External"/><Relationship Id="rId_hyperlink_6817" Type="http://schemas.openxmlformats.org/officeDocument/2006/relationships/hyperlink" Target="https://optovikufa.ru/product/225456/shina-soedinitelnaya-tipa-pin-smartbuy-shtyr-2p-63a-1m/" TargetMode="External"/><Relationship Id="rId_hyperlink_6818" Type="http://schemas.openxmlformats.org/officeDocument/2006/relationships/hyperlink" Target="https://optovikufa.ru/product/242022/shina-soedinitelnaya-tipa-pin-dlya-trehfaznoy-nagruzki-63a-12-moduley-ekf-proxi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0" summaryRight="1"/>
  </sheetPr>
  <dimension ref="A1:Z7643"/>
  <sheetViews>
    <sheetView tabSelected="1" workbookViewId="0" showGridLines="true" showRowColHeaders="1">
      <selection activeCell="G15" sqref="G15"/>
    </sheetView>
  </sheetViews>
  <sheetFormatPr defaultRowHeight="14.4" outlineLevelRow="5" outlineLevelCol="0"/>
  <cols>
    <col min="1" max="1" width="30" customWidth="true" style="0"/>
    <col min="2" max="2" width="80" customWidth="true" style="0"/>
    <col min="3" max="3" width="30" customWidth="true" style="0"/>
    <col min="4" max="4" width="20" customWidth="true" style="0"/>
    <col min="5" max="5" width="20" customWidth="true" style="0"/>
    <col min="6" max="6" width="15" customWidth="true" style="0"/>
    <col min="7" max="7" width="15" customWidth="true" style="0"/>
  </cols>
  <sheetData>
    <row r="1" spans="1:26" customHeight="1" ht="15">
      <c r="B1" s="6" t="s">
        <v>0</v>
      </c>
      <c r="Z1">
        <v>0</v>
      </c>
    </row>
    <row r="2" spans="1:26" customHeight="1" ht="25">
      <c r="B2" s="7" t="s">
        <v>1</v>
      </c>
    </row>
    <row r="3" spans="1:26" customHeight="1" ht="25">
      <c r="B3" s="8" t="s">
        <v>2</v>
      </c>
    </row>
    <row r="4" spans="1:26" customHeight="1" ht="20">
      <c r="B4" s="9" t="s">
        <v>3</v>
      </c>
    </row>
    <row r="5" spans="1:26" customHeight="1" ht="20">
      <c r="B5" s="8" t="s">
        <v>4</v>
      </c>
    </row>
    <row r="6" spans="1:26" customHeight="1" ht="20">
      <c r="B6" s="8" t="s">
        <v>5</v>
      </c>
    </row>
    <row r="7" spans="1:26" customHeight="1" ht="20">
      <c r="B7" s="9" t="s">
        <v>6</v>
      </c>
    </row>
    <row r="8" spans="1:26" customHeight="1" ht="20">
      <c r="B8" s="8" t="s">
        <v>7</v>
      </c>
    </row>
    <row r="9" spans="1:26" customHeight="1" ht="20">
      <c r="B9" s="8" t="s">
        <v>8</v>
      </c>
    </row>
    <row r="10" spans="1:26" customHeight="1" ht="20">
      <c r="B10" s="9" t="s">
        <v>9</v>
      </c>
    </row>
    <row r="11" spans="1:26" customHeight="1" ht="20">
      <c r="B11" s="8" t="s">
        <v>10</v>
      </c>
    </row>
    <row r="12" spans="1:26" customHeight="1" ht="20">
      <c r="B12" s="8" t="s">
        <v>11</v>
      </c>
    </row>
    <row r="13" spans="1:26" customHeight="1" ht="20">
      <c r="B13" s="10" t="s">
        <v>12</v>
      </c>
    </row>
    <row r="15" spans="1:26" customHeight="1" ht="30">
      <c r="A15" s="11" t="s">
        <v>13</v>
      </c>
      <c r="B15" s="11" t="s">
        <v>14</v>
      </c>
      <c r="C15" s="11" t="s">
        <v>15</v>
      </c>
      <c r="D15" s="11" t="s">
        <v>16</v>
      </c>
      <c r="E15" s="11" t="s">
        <v>17</v>
      </c>
      <c r="F15" s="11" t="s">
        <v>18</v>
      </c>
      <c r="G15" s="11" t="s">
        <v>19</v>
      </c>
    </row>
    <row r="16" spans="1:26" customHeight="1" ht="35">
      <c r="A16" s="1" t="s">
        <v>20</v>
      </c>
      <c r="B16" s="1"/>
      <c r="C16" s="1"/>
      <c r="D16" s="1"/>
      <c r="E16" s="1"/>
      <c r="F16" s="1"/>
      <c r="G16" s="1"/>
    </row>
    <row r="17" spans="1:26" customHeight="1" ht="18" hidden="true" outlineLevel="1">
      <c r="A17" s="2" t="s">
        <v>21</v>
      </c>
      <c r="B17" s="3" t="s">
        <v>22</v>
      </c>
      <c r="C17" s="2"/>
      <c r="D17" s="2" t="s">
        <v>16</v>
      </c>
      <c r="E17" s="4">
        <f>116.32*(1-Z1%)</f>
        <v>116.32</v>
      </c>
      <c r="F17" s="2">
        <v>5</v>
      </c>
      <c r="G17" s="2"/>
    </row>
    <row r="18" spans="1:26" customHeight="1" ht="18" hidden="true" outlineLevel="1">
      <c r="A18" s="2" t="s">
        <v>23</v>
      </c>
      <c r="B18" s="3" t="s">
        <v>24</v>
      </c>
      <c r="C18" s="2"/>
      <c r="D18" s="2" t="s">
        <v>16</v>
      </c>
      <c r="E18" s="4">
        <f>121.50*(1-Z1%)</f>
        <v>121.5</v>
      </c>
      <c r="F18" s="2">
        <v>5</v>
      </c>
      <c r="G18" s="2"/>
    </row>
    <row r="19" spans="1:26" customHeight="1" ht="36" hidden="true" outlineLevel="1">
      <c r="A19" s="2" t="s">
        <v>25</v>
      </c>
      <c r="B19" s="3" t="s">
        <v>26</v>
      </c>
      <c r="C19" s="2"/>
      <c r="D19" s="2" t="s">
        <v>16</v>
      </c>
      <c r="E19" s="4">
        <f>97.79*(1-Z1%)</f>
        <v>97.79</v>
      </c>
      <c r="F19" s="2">
        <v>9</v>
      </c>
      <c r="G19" s="2"/>
    </row>
    <row r="20" spans="1:26" customHeight="1" ht="36" hidden="true" outlineLevel="1">
      <c r="A20" s="2" t="s">
        <v>27</v>
      </c>
      <c r="B20" s="3" t="s">
        <v>28</v>
      </c>
      <c r="C20" s="2"/>
      <c r="D20" s="2" t="s">
        <v>16</v>
      </c>
      <c r="E20" s="4">
        <f>976.04*(1-Z1%)</f>
        <v>976.04</v>
      </c>
      <c r="F20" s="2">
        <v>3</v>
      </c>
      <c r="G20" s="2"/>
    </row>
    <row r="21" spans="1:26" customHeight="1" ht="36" hidden="true" outlineLevel="1">
      <c r="A21" s="2" t="s">
        <v>29</v>
      </c>
      <c r="B21" s="3" t="s">
        <v>30</v>
      </c>
      <c r="C21" s="2"/>
      <c r="D21" s="2" t="s">
        <v>16</v>
      </c>
      <c r="E21" s="4">
        <f>1410.84*(1-Z1%)</f>
        <v>1410.84</v>
      </c>
      <c r="F21" s="2">
        <v>3</v>
      </c>
      <c r="G21" s="2"/>
    </row>
    <row r="22" spans="1:26" customHeight="1" ht="36" hidden="true" outlineLevel="1">
      <c r="A22" s="2" t="s">
        <v>31</v>
      </c>
      <c r="B22" s="3" t="s">
        <v>32</v>
      </c>
      <c r="C22" s="2"/>
      <c r="D22" s="2" t="s">
        <v>16</v>
      </c>
      <c r="E22" s="4">
        <f>29.70*(1-Z1%)</f>
        <v>29.7</v>
      </c>
      <c r="F22" s="2">
        <v>35</v>
      </c>
      <c r="G22" s="2"/>
    </row>
    <row r="23" spans="1:26" customHeight="1" ht="36" hidden="true" outlineLevel="1">
      <c r="A23" s="2" t="s">
        <v>33</v>
      </c>
      <c r="B23" s="3" t="s">
        <v>34</v>
      </c>
      <c r="C23" s="2"/>
      <c r="D23" s="2" t="s">
        <v>16</v>
      </c>
      <c r="E23" s="4">
        <f>30.94*(1-Z1%)</f>
        <v>30.94</v>
      </c>
      <c r="F23" s="2">
        <v>35</v>
      </c>
      <c r="G23" s="2"/>
    </row>
    <row r="24" spans="1:26" customHeight="1" ht="36" hidden="true" outlineLevel="1">
      <c r="A24" s="2" t="s">
        <v>35</v>
      </c>
      <c r="B24" s="3" t="s">
        <v>36</v>
      </c>
      <c r="C24" s="2"/>
      <c r="D24" s="2" t="s">
        <v>16</v>
      </c>
      <c r="E24" s="4">
        <f>156.58*(1-Z1%)</f>
        <v>156.58</v>
      </c>
      <c r="F24" s="2">
        <v>7</v>
      </c>
      <c r="G24" s="2"/>
    </row>
    <row r="25" spans="1:26" customHeight="1" ht="36" hidden="true" outlineLevel="1">
      <c r="A25" s="2" t="s">
        <v>37</v>
      </c>
      <c r="B25" s="3" t="s">
        <v>38</v>
      </c>
      <c r="C25" s="2"/>
      <c r="D25" s="2" t="s">
        <v>16</v>
      </c>
      <c r="E25" s="4">
        <f>200.93*(1-Z1%)</f>
        <v>200.93</v>
      </c>
      <c r="F25" s="2">
        <v>10</v>
      </c>
      <c r="G25" s="2"/>
    </row>
    <row r="26" spans="1:26" customHeight="1" ht="36" hidden="true" outlineLevel="1">
      <c r="A26" s="2" t="s">
        <v>39</v>
      </c>
      <c r="B26" s="3" t="s">
        <v>40</v>
      </c>
      <c r="C26" s="2"/>
      <c r="D26" s="2" t="s">
        <v>16</v>
      </c>
      <c r="E26" s="4">
        <f>252.23*(1-Z1%)</f>
        <v>252.23</v>
      </c>
      <c r="F26" s="2">
        <v>10</v>
      </c>
      <c r="G26" s="2"/>
    </row>
    <row r="27" spans="1:26" customHeight="1" ht="36" hidden="true" outlineLevel="1">
      <c r="A27" s="2" t="s">
        <v>41</v>
      </c>
      <c r="B27" s="3" t="s">
        <v>42</v>
      </c>
      <c r="C27" s="2"/>
      <c r="D27" s="2" t="s">
        <v>16</v>
      </c>
      <c r="E27" s="4">
        <f>310.37*(1-Z1%)</f>
        <v>310.37</v>
      </c>
      <c r="F27" s="2">
        <v>5</v>
      </c>
      <c r="G27" s="2"/>
    </row>
    <row r="28" spans="1:26" customHeight="1" ht="36" hidden="true" outlineLevel="1">
      <c r="A28" s="2" t="s">
        <v>43</v>
      </c>
      <c r="B28" s="3" t="s">
        <v>44</v>
      </c>
      <c r="C28" s="2"/>
      <c r="D28" s="2" t="s">
        <v>16</v>
      </c>
      <c r="E28" s="4">
        <f>186.81*(1-Z1%)</f>
        <v>186.81</v>
      </c>
      <c r="F28" s="2">
        <v>10</v>
      </c>
      <c r="G28" s="2"/>
    </row>
    <row r="29" spans="1:26" customHeight="1" ht="18" hidden="true" outlineLevel="1">
      <c r="A29" s="2" t="s">
        <v>45</v>
      </c>
      <c r="B29" s="3" t="s">
        <v>46</v>
      </c>
      <c r="C29" s="2"/>
      <c r="D29" s="2" t="s">
        <v>16</v>
      </c>
      <c r="E29" s="4">
        <f>27.03*(1-Z1%)</f>
        <v>27.03</v>
      </c>
      <c r="F29" s="2">
        <v>10</v>
      </c>
      <c r="G29" s="2"/>
    </row>
    <row r="30" spans="1:26" customHeight="1" ht="36" hidden="true" outlineLevel="1">
      <c r="A30" s="2" t="s">
        <v>47</v>
      </c>
      <c r="B30" s="3" t="s">
        <v>48</v>
      </c>
      <c r="C30" s="2"/>
      <c r="D30" s="2" t="s">
        <v>16</v>
      </c>
      <c r="E30" s="4">
        <f>451.40*(1-Z1%)</f>
        <v>451.4</v>
      </c>
      <c r="F30" s="2">
        <v>9</v>
      </c>
      <c r="G30" s="2"/>
    </row>
    <row r="31" spans="1:26" customHeight="1" ht="36" hidden="true" outlineLevel="1">
      <c r="A31" s="2" t="s">
        <v>49</v>
      </c>
      <c r="B31" s="3" t="s">
        <v>50</v>
      </c>
      <c r="C31" s="2"/>
      <c r="D31" s="2" t="s">
        <v>16</v>
      </c>
      <c r="E31" s="4">
        <f>1721.97*(1-Z1%)</f>
        <v>1721.97</v>
      </c>
      <c r="F31" s="2">
        <v>1</v>
      </c>
      <c r="G31" s="2"/>
    </row>
    <row r="32" spans="1:26" customHeight="1" ht="36" hidden="true" outlineLevel="1">
      <c r="A32" s="2" t="s">
        <v>51</v>
      </c>
      <c r="B32" s="3" t="s">
        <v>52</v>
      </c>
      <c r="C32" s="2"/>
      <c r="D32" s="2" t="s">
        <v>16</v>
      </c>
      <c r="E32" s="4">
        <f>71.58*(1-Z1%)</f>
        <v>71.58</v>
      </c>
      <c r="F32" s="2">
        <v>79</v>
      </c>
      <c r="G32" s="2"/>
    </row>
    <row r="33" spans="1:26" customHeight="1" ht="36" hidden="true" outlineLevel="1">
      <c r="A33" s="2" t="s">
        <v>53</v>
      </c>
      <c r="B33" s="3" t="s">
        <v>54</v>
      </c>
      <c r="C33" s="2"/>
      <c r="D33" s="2" t="s">
        <v>16</v>
      </c>
      <c r="E33" s="4">
        <f>63.96*(1-Z1%)</f>
        <v>63.96</v>
      </c>
      <c r="F33" s="2">
        <v>79</v>
      </c>
      <c r="G33" s="2"/>
    </row>
    <row r="34" spans="1:26" customHeight="1" ht="36" hidden="true" outlineLevel="1">
      <c r="A34" s="2" t="s">
        <v>55</v>
      </c>
      <c r="B34" s="3" t="s">
        <v>56</v>
      </c>
      <c r="C34" s="2"/>
      <c r="D34" s="2" t="s">
        <v>16</v>
      </c>
      <c r="E34" s="4">
        <f>24.75*(1-Z1%)</f>
        <v>24.75</v>
      </c>
      <c r="F34" s="2">
        <v>5</v>
      </c>
      <c r="G34" s="2"/>
    </row>
    <row r="35" spans="1:26" customHeight="1" ht="18" hidden="true" outlineLevel="1">
      <c r="A35" s="2" t="s">
        <v>57</v>
      </c>
      <c r="B35" s="3" t="s">
        <v>58</v>
      </c>
      <c r="C35" s="2"/>
      <c r="D35" s="2" t="s">
        <v>16</v>
      </c>
      <c r="E35" s="4">
        <f>189.81*(1-Z1%)</f>
        <v>189.81</v>
      </c>
      <c r="F35" s="2">
        <v>5</v>
      </c>
      <c r="G35" s="2"/>
    </row>
    <row r="36" spans="1:26" customHeight="1" ht="18" hidden="true" outlineLevel="1">
      <c r="A36" s="2" t="s">
        <v>59</v>
      </c>
      <c r="B36" s="3" t="s">
        <v>60</v>
      </c>
      <c r="C36" s="2"/>
      <c r="D36" s="2" t="s">
        <v>16</v>
      </c>
      <c r="E36" s="4">
        <f>105.17*(1-Z1%)</f>
        <v>105.17</v>
      </c>
      <c r="F36" s="2">
        <v>13</v>
      </c>
      <c r="G36" s="2"/>
    </row>
    <row r="37" spans="1:26" customHeight="1" ht="18" hidden="true" outlineLevel="1">
      <c r="A37" s="2" t="s">
        <v>61</v>
      </c>
      <c r="B37" s="3" t="s">
        <v>62</v>
      </c>
      <c r="C37" s="2"/>
      <c r="D37" s="2" t="s">
        <v>16</v>
      </c>
      <c r="E37" s="4">
        <f>115.69*(1-Z1%)</f>
        <v>115.69</v>
      </c>
      <c r="F37" s="2">
        <v>8</v>
      </c>
      <c r="G37" s="2"/>
    </row>
    <row r="38" spans="1:26" customHeight="1" ht="36" hidden="true" outlineLevel="1">
      <c r="A38" s="2" t="s">
        <v>63</v>
      </c>
      <c r="B38" s="3" t="s">
        <v>64</v>
      </c>
      <c r="C38" s="2"/>
      <c r="D38" s="2" t="s">
        <v>16</v>
      </c>
      <c r="E38" s="4">
        <f>21.14*(1-Z1%)</f>
        <v>21.14</v>
      </c>
      <c r="F38" s="2">
        <v>390</v>
      </c>
      <c r="G38" s="2"/>
    </row>
    <row r="39" spans="1:26" customHeight="1" ht="18" hidden="true" outlineLevel="1">
      <c r="A39" s="2" t="s">
        <v>65</v>
      </c>
      <c r="B39" s="3" t="s">
        <v>66</v>
      </c>
      <c r="C39" s="2"/>
      <c r="D39" s="2" t="s">
        <v>16</v>
      </c>
      <c r="E39" s="4">
        <f>5.60*(1-Z1%)</f>
        <v>5.6</v>
      </c>
      <c r="F39" s="2">
        <v>10</v>
      </c>
      <c r="G39" s="2"/>
    </row>
    <row r="40" spans="1:26" customHeight="1" ht="18" hidden="true" outlineLevel="1">
      <c r="A40" s="2" t="s">
        <v>67</v>
      </c>
      <c r="B40" s="3" t="s">
        <v>68</v>
      </c>
      <c r="C40" s="2"/>
      <c r="D40" s="2" t="s">
        <v>16</v>
      </c>
      <c r="E40" s="4">
        <f>5.58*(1-Z1%)</f>
        <v>5.58</v>
      </c>
      <c r="F40" s="2">
        <v>7</v>
      </c>
      <c r="G40" s="2"/>
    </row>
    <row r="41" spans="1:26" customHeight="1" ht="18" hidden="true" outlineLevel="1">
      <c r="A41" s="2" t="s">
        <v>69</v>
      </c>
      <c r="B41" s="3" t="s">
        <v>70</v>
      </c>
      <c r="C41" s="2"/>
      <c r="D41" s="2" t="s">
        <v>16</v>
      </c>
      <c r="E41" s="4">
        <f>5.85*(1-Z1%)</f>
        <v>5.85</v>
      </c>
      <c r="F41" s="2">
        <v>10</v>
      </c>
      <c r="G41" s="2"/>
    </row>
    <row r="42" spans="1:26" customHeight="1" ht="18" hidden="true" outlineLevel="1">
      <c r="A42" s="2" t="s">
        <v>71</v>
      </c>
      <c r="B42" s="3" t="s">
        <v>72</v>
      </c>
      <c r="C42" s="2"/>
      <c r="D42" s="2" t="s">
        <v>16</v>
      </c>
      <c r="E42" s="4">
        <f>5.85*(1-Z1%)</f>
        <v>5.85</v>
      </c>
      <c r="F42" s="2">
        <v>10</v>
      </c>
      <c r="G42" s="2"/>
    </row>
    <row r="43" spans="1:26" customHeight="1" ht="18" hidden="true" outlineLevel="1">
      <c r="A43" s="2" t="s">
        <v>73</v>
      </c>
      <c r="B43" s="3" t="s">
        <v>74</v>
      </c>
      <c r="C43" s="2"/>
      <c r="D43" s="2" t="s">
        <v>16</v>
      </c>
      <c r="E43" s="4">
        <f>7.08*(1-Z1%)</f>
        <v>7.08</v>
      </c>
      <c r="F43" s="2">
        <v>10</v>
      </c>
      <c r="G43" s="2"/>
    </row>
    <row r="44" spans="1:26" customHeight="1" ht="18" hidden="true" outlineLevel="1">
      <c r="A44" s="2" t="s">
        <v>75</v>
      </c>
      <c r="B44" s="3" t="s">
        <v>76</v>
      </c>
      <c r="C44" s="2"/>
      <c r="D44" s="2" t="s">
        <v>16</v>
      </c>
      <c r="E44" s="4">
        <f>7.19*(1-Z1%)</f>
        <v>7.19</v>
      </c>
      <c r="F44" s="2">
        <v>10</v>
      </c>
      <c r="G44" s="2"/>
    </row>
    <row r="45" spans="1:26" customHeight="1" ht="18" hidden="true" outlineLevel="1">
      <c r="A45" s="2" t="s">
        <v>77</v>
      </c>
      <c r="B45" s="3" t="s">
        <v>78</v>
      </c>
      <c r="C45" s="2"/>
      <c r="D45" s="2" t="s">
        <v>16</v>
      </c>
      <c r="E45" s="4">
        <f>5.82*(1-Z1%)</f>
        <v>5.82</v>
      </c>
      <c r="F45" s="2">
        <v>10</v>
      </c>
      <c r="G45" s="2"/>
    </row>
    <row r="46" spans="1:26" customHeight="1" ht="18" hidden="true" outlineLevel="1">
      <c r="A46" s="2" t="s">
        <v>79</v>
      </c>
      <c r="B46" s="3" t="s">
        <v>80</v>
      </c>
      <c r="C46" s="2"/>
      <c r="D46" s="2" t="s">
        <v>16</v>
      </c>
      <c r="E46" s="4">
        <f>5.85*(1-Z1%)</f>
        <v>5.85</v>
      </c>
      <c r="F46" s="2">
        <v>10</v>
      </c>
      <c r="G46" s="2"/>
    </row>
    <row r="47" spans="1:26" customHeight="1" ht="18" hidden="true" outlineLevel="1">
      <c r="A47" s="2" t="s">
        <v>81</v>
      </c>
      <c r="B47" s="3" t="s">
        <v>82</v>
      </c>
      <c r="C47" s="2"/>
      <c r="D47" s="2" t="s">
        <v>16</v>
      </c>
      <c r="E47" s="4">
        <f>2.74*(1-Z1%)</f>
        <v>2.74</v>
      </c>
      <c r="F47" s="2">
        <v>10</v>
      </c>
      <c r="G47" s="2"/>
    </row>
    <row r="48" spans="1:26" customHeight="1" ht="36" hidden="true" outlineLevel="1">
      <c r="A48" s="2" t="s">
        <v>83</v>
      </c>
      <c r="B48" s="3" t="s">
        <v>84</v>
      </c>
      <c r="C48" s="2"/>
      <c r="D48" s="2" t="s">
        <v>16</v>
      </c>
      <c r="E48" s="4">
        <f>584.29*(1-Z1%)</f>
        <v>584.29</v>
      </c>
      <c r="F48" s="2">
        <v>2</v>
      </c>
      <c r="G48" s="2"/>
    </row>
    <row r="49" spans="1:26" customHeight="1" ht="18" hidden="true" outlineLevel="1">
      <c r="A49" s="2" t="s">
        <v>85</v>
      </c>
      <c r="B49" s="3" t="s">
        <v>86</v>
      </c>
      <c r="C49" s="2"/>
      <c r="D49" s="2" t="s">
        <v>16</v>
      </c>
      <c r="E49" s="4">
        <f>18.94*(1-Z1%)</f>
        <v>18.94</v>
      </c>
      <c r="F49" s="2">
        <v>22</v>
      </c>
      <c r="G49" s="2"/>
    </row>
    <row r="50" spans="1:26" customHeight="1" ht="18" hidden="true" outlineLevel="1">
      <c r="A50" s="2" t="s">
        <v>87</v>
      </c>
      <c r="B50" s="3" t="s">
        <v>88</v>
      </c>
      <c r="C50" s="2"/>
      <c r="D50" s="2" t="s">
        <v>16</v>
      </c>
      <c r="E50" s="4">
        <f>5.81*(1-Z1%)</f>
        <v>5.81</v>
      </c>
      <c r="F50" s="2">
        <v>2</v>
      </c>
      <c r="G50" s="2"/>
    </row>
    <row r="51" spans="1:26" customHeight="1" ht="18" hidden="true" outlineLevel="1">
      <c r="A51" s="2" t="s">
        <v>89</v>
      </c>
      <c r="B51" s="3" t="s">
        <v>90</v>
      </c>
      <c r="C51" s="2"/>
      <c r="D51" s="2" t="s">
        <v>16</v>
      </c>
      <c r="E51" s="4">
        <f>270.77*(1-Z1%)</f>
        <v>270.77</v>
      </c>
      <c r="F51" s="2">
        <v>4</v>
      </c>
      <c r="G51" s="2"/>
    </row>
    <row r="52" spans="1:26" customHeight="1" ht="18" hidden="true" outlineLevel="1">
      <c r="A52" s="2" t="s">
        <v>91</v>
      </c>
      <c r="B52" s="3" t="s">
        <v>92</v>
      </c>
      <c r="C52" s="2"/>
      <c r="D52" s="2" t="s">
        <v>16</v>
      </c>
      <c r="E52" s="4">
        <f>723.06*(1-Z1%)</f>
        <v>723.06</v>
      </c>
      <c r="F52" s="2">
        <v>3</v>
      </c>
      <c r="G52" s="2"/>
    </row>
    <row r="53" spans="1:26" customHeight="1" ht="18" hidden="true" outlineLevel="1">
      <c r="A53" s="2" t="s">
        <v>93</v>
      </c>
      <c r="B53" s="3" t="s">
        <v>94</v>
      </c>
      <c r="C53" s="2"/>
      <c r="D53" s="2" t="s">
        <v>16</v>
      </c>
      <c r="E53" s="4">
        <f>707.46*(1-Z1%)</f>
        <v>707.46</v>
      </c>
      <c r="F53" s="2">
        <v>3</v>
      </c>
      <c r="G53" s="2"/>
    </row>
    <row r="54" spans="1:26" customHeight="1" ht="18" hidden="true" outlineLevel="1">
      <c r="A54" s="2" t="s">
        <v>95</v>
      </c>
      <c r="B54" s="3" t="s">
        <v>96</v>
      </c>
      <c r="C54" s="2"/>
      <c r="D54" s="2" t="s">
        <v>16</v>
      </c>
      <c r="E54" s="4">
        <f>618.12*(1-Z1%)</f>
        <v>618.12</v>
      </c>
      <c r="F54" s="2">
        <v>3</v>
      </c>
      <c r="G54" s="2"/>
    </row>
    <row r="55" spans="1:26" customHeight="1" ht="36" hidden="true" outlineLevel="1">
      <c r="A55" s="2" t="s">
        <v>97</v>
      </c>
      <c r="B55" s="3" t="s">
        <v>98</v>
      </c>
      <c r="C55" s="2"/>
      <c r="D55" s="2" t="s">
        <v>16</v>
      </c>
      <c r="E55" s="4">
        <f>295.83*(1-Z1%)</f>
        <v>295.83</v>
      </c>
      <c r="F55" s="2">
        <v>5</v>
      </c>
      <c r="G55" s="2"/>
    </row>
    <row r="56" spans="1:26" customHeight="1" ht="36" hidden="true" outlineLevel="1">
      <c r="A56" s="2" t="s">
        <v>99</v>
      </c>
      <c r="B56" s="3" t="s">
        <v>100</v>
      </c>
      <c r="C56" s="2"/>
      <c r="D56" s="2" t="s">
        <v>16</v>
      </c>
      <c r="E56" s="4">
        <f>259.92*(1-Z1%)</f>
        <v>259.92</v>
      </c>
      <c r="F56" s="2">
        <v>5</v>
      </c>
      <c r="G56" s="2"/>
    </row>
    <row r="57" spans="1:26" customHeight="1" ht="36" hidden="true" outlineLevel="1">
      <c r="A57" s="2" t="s">
        <v>101</v>
      </c>
      <c r="B57" s="3" t="s">
        <v>102</v>
      </c>
      <c r="C57" s="2"/>
      <c r="D57" s="2" t="s">
        <v>16</v>
      </c>
      <c r="E57" s="4">
        <f>413.82*(1-Z1%)</f>
        <v>413.82</v>
      </c>
      <c r="F57" s="2">
        <v>3</v>
      </c>
      <c r="G57" s="2"/>
    </row>
    <row r="58" spans="1:26" customHeight="1" ht="36" hidden="true" outlineLevel="1">
      <c r="A58" s="2" t="s">
        <v>103</v>
      </c>
      <c r="B58" s="3" t="s">
        <v>104</v>
      </c>
      <c r="C58" s="2"/>
      <c r="D58" s="2" t="s">
        <v>16</v>
      </c>
      <c r="E58" s="4">
        <f>135.42*(1-Z1%)</f>
        <v>135.42</v>
      </c>
      <c r="F58" s="2">
        <v>2</v>
      </c>
      <c r="G58" s="2"/>
    </row>
    <row r="59" spans="1:26" customHeight="1" ht="36" hidden="true" outlineLevel="1">
      <c r="A59" s="2" t="s">
        <v>105</v>
      </c>
      <c r="B59" s="3" t="s">
        <v>106</v>
      </c>
      <c r="C59" s="2"/>
      <c r="D59" s="2" t="s">
        <v>16</v>
      </c>
      <c r="E59" s="4">
        <f>135.42*(1-Z1%)</f>
        <v>135.42</v>
      </c>
      <c r="F59" s="2">
        <v>2</v>
      </c>
      <c r="G59" s="2"/>
    </row>
    <row r="60" spans="1:26" customHeight="1" ht="36" hidden="true" outlineLevel="1">
      <c r="A60" s="2" t="s">
        <v>107</v>
      </c>
      <c r="B60" s="3" t="s">
        <v>108</v>
      </c>
      <c r="C60" s="2"/>
      <c r="D60" s="2" t="s">
        <v>16</v>
      </c>
      <c r="E60" s="4">
        <f>135.42*(1-Z1%)</f>
        <v>135.42</v>
      </c>
      <c r="F60" s="2">
        <v>2</v>
      </c>
      <c r="G60" s="2"/>
    </row>
    <row r="61" spans="1:26" customHeight="1" ht="36" hidden="true" outlineLevel="1">
      <c r="A61" s="2" t="s">
        <v>109</v>
      </c>
      <c r="B61" s="3" t="s">
        <v>110</v>
      </c>
      <c r="C61" s="2"/>
      <c r="D61" s="2" t="s">
        <v>16</v>
      </c>
      <c r="E61" s="4">
        <f>135.42*(1-Z1%)</f>
        <v>135.42</v>
      </c>
      <c r="F61" s="2">
        <v>2</v>
      </c>
      <c r="G61" s="2"/>
    </row>
    <row r="62" spans="1:26" customHeight="1" ht="36" hidden="true" outlineLevel="1">
      <c r="A62" s="2" t="s">
        <v>111</v>
      </c>
      <c r="B62" s="3" t="s">
        <v>112</v>
      </c>
      <c r="C62" s="2"/>
      <c r="D62" s="2" t="s">
        <v>16</v>
      </c>
      <c r="E62" s="4">
        <f>180.57*(1-Z1%)</f>
        <v>180.57</v>
      </c>
      <c r="F62" s="2">
        <v>1</v>
      </c>
      <c r="G62" s="2"/>
    </row>
    <row r="63" spans="1:26" customHeight="1" ht="36" hidden="true" outlineLevel="1">
      <c r="A63" s="2" t="s">
        <v>113</v>
      </c>
      <c r="B63" s="3" t="s">
        <v>114</v>
      </c>
      <c r="C63" s="2"/>
      <c r="D63" s="2" t="s">
        <v>16</v>
      </c>
      <c r="E63" s="4">
        <f>180.57*(1-Z1%)</f>
        <v>180.57</v>
      </c>
      <c r="F63" s="2">
        <v>2</v>
      </c>
      <c r="G63" s="2"/>
    </row>
    <row r="64" spans="1:26" customHeight="1" ht="36" hidden="true" outlineLevel="1">
      <c r="A64" s="2" t="s">
        <v>115</v>
      </c>
      <c r="B64" s="3" t="s">
        <v>116</v>
      </c>
      <c r="C64" s="2"/>
      <c r="D64" s="2" t="s">
        <v>16</v>
      </c>
      <c r="E64" s="4">
        <f>264.83*(1-Z1%)</f>
        <v>264.83</v>
      </c>
      <c r="F64" s="2">
        <v>3</v>
      </c>
      <c r="G64" s="2"/>
    </row>
    <row r="65" spans="1:26" customHeight="1" ht="36" hidden="true" outlineLevel="1">
      <c r="A65" s="2" t="s">
        <v>117</v>
      </c>
      <c r="B65" s="3" t="s">
        <v>118</v>
      </c>
      <c r="C65" s="2"/>
      <c r="D65" s="2" t="s">
        <v>16</v>
      </c>
      <c r="E65" s="4">
        <f>264.83*(1-Z1%)</f>
        <v>264.83</v>
      </c>
      <c r="F65" s="2">
        <v>3</v>
      </c>
      <c r="G65" s="2"/>
    </row>
    <row r="66" spans="1:26" customHeight="1" ht="36" hidden="true" outlineLevel="1">
      <c r="A66" s="2" t="s">
        <v>119</v>
      </c>
      <c r="B66" s="3" t="s">
        <v>120</v>
      </c>
      <c r="C66" s="2"/>
      <c r="D66" s="2" t="s">
        <v>16</v>
      </c>
      <c r="E66" s="4">
        <f>264.83*(1-Z1%)</f>
        <v>264.83</v>
      </c>
      <c r="F66" s="2">
        <v>3</v>
      </c>
      <c r="G66" s="2"/>
    </row>
    <row r="67" spans="1:26" customHeight="1" ht="36" hidden="true" outlineLevel="1">
      <c r="A67" s="2" t="s">
        <v>121</v>
      </c>
      <c r="B67" s="3" t="s">
        <v>122</v>
      </c>
      <c r="C67" s="2"/>
      <c r="D67" s="2" t="s">
        <v>16</v>
      </c>
      <c r="E67" s="4">
        <f>742.50*(1-Z1%)</f>
        <v>742.5</v>
      </c>
      <c r="F67" s="2">
        <v>2</v>
      </c>
      <c r="G67" s="2"/>
    </row>
    <row r="68" spans="1:26" customHeight="1" ht="36" hidden="true" outlineLevel="1">
      <c r="A68" s="2" t="s">
        <v>123</v>
      </c>
      <c r="B68" s="3" t="s">
        <v>124</v>
      </c>
      <c r="C68" s="2"/>
      <c r="D68" s="2" t="s">
        <v>16</v>
      </c>
      <c r="E68" s="4">
        <f>292.73*(1-Z1%)</f>
        <v>292.73</v>
      </c>
      <c r="F68" s="2">
        <v>2</v>
      </c>
      <c r="G68" s="2"/>
    </row>
    <row r="69" spans="1:26" customHeight="1" ht="36" hidden="true" outlineLevel="1">
      <c r="A69" s="2" t="s">
        <v>125</v>
      </c>
      <c r="B69" s="3" t="s">
        <v>126</v>
      </c>
      <c r="C69" s="2"/>
      <c r="D69" s="2" t="s">
        <v>16</v>
      </c>
      <c r="E69" s="4">
        <f>68.07*(1-Z1%)</f>
        <v>68.07</v>
      </c>
      <c r="F69" s="2">
        <v>6</v>
      </c>
      <c r="G69" s="2"/>
    </row>
    <row r="70" spans="1:26" customHeight="1" ht="18" hidden="true" outlineLevel="1">
      <c r="A70" s="2" t="s">
        <v>127</v>
      </c>
      <c r="B70" s="3" t="s">
        <v>128</v>
      </c>
      <c r="C70" s="2"/>
      <c r="D70" s="2" t="s">
        <v>16</v>
      </c>
      <c r="E70" s="4">
        <f>76.11*(1-Z1%)</f>
        <v>76.11</v>
      </c>
      <c r="F70" s="2">
        <v>12</v>
      </c>
      <c r="G70" s="2"/>
    </row>
    <row r="71" spans="1:26" customHeight="1" ht="18" hidden="true" outlineLevel="1">
      <c r="A71" s="2" t="s">
        <v>129</v>
      </c>
      <c r="B71" s="3" t="s">
        <v>130</v>
      </c>
      <c r="C71" s="2"/>
      <c r="D71" s="2" t="s">
        <v>16</v>
      </c>
      <c r="E71" s="4">
        <f>79.33*(1-Z1%)</f>
        <v>79.33</v>
      </c>
      <c r="F71" s="2">
        <v>18</v>
      </c>
      <c r="G71" s="2"/>
    </row>
    <row r="72" spans="1:26" customHeight="1" ht="36" hidden="true" outlineLevel="1">
      <c r="A72" s="2" t="s">
        <v>131</v>
      </c>
      <c r="B72" s="3" t="s">
        <v>132</v>
      </c>
      <c r="C72" s="2"/>
      <c r="D72" s="2" t="s">
        <v>16</v>
      </c>
      <c r="E72" s="4">
        <f>235.13*(1-Z1%)</f>
        <v>235.13</v>
      </c>
      <c r="F72" s="2">
        <v>2</v>
      </c>
      <c r="G72" s="2"/>
    </row>
    <row r="73" spans="1:26" customHeight="1" ht="18" hidden="true" outlineLevel="1">
      <c r="A73" s="2" t="s">
        <v>133</v>
      </c>
      <c r="B73" s="3" t="s">
        <v>134</v>
      </c>
      <c r="C73" s="2"/>
      <c r="D73" s="2" t="s">
        <v>16</v>
      </c>
      <c r="E73" s="4">
        <f>144.63*(1-Z1%)</f>
        <v>144.63</v>
      </c>
      <c r="F73" s="2">
        <v>9</v>
      </c>
      <c r="G73" s="2"/>
    </row>
    <row r="74" spans="1:26" customHeight="1" ht="36" hidden="true" outlineLevel="1">
      <c r="A74" s="2" t="s">
        <v>135</v>
      </c>
      <c r="B74" s="3" t="s">
        <v>136</v>
      </c>
      <c r="C74" s="2"/>
      <c r="D74" s="2" t="s">
        <v>16</v>
      </c>
      <c r="E74" s="4">
        <f>89.78*(1-Z1%)</f>
        <v>89.78</v>
      </c>
      <c r="F74" s="2">
        <v>10</v>
      </c>
      <c r="G74" s="2"/>
    </row>
    <row r="75" spans="1:26" customHeight="1" ht="18" hidden="true" outlineLevel="1">
      <c r="A75" s="2" t="s">
        <v>137</v>
      </c>
      <c r="B75" s="3" t="s">
        <v>138</v>
      </c>
      <c r="C75" s="2"/>
      <c r="D75" s="2" t="s">
        <v>16</v>
      </c>
      <c r="E75" s="4">
        <f>353.97*(1-Z1%)</f>
        <v>353.97</v>
      </c>
      <c r="F75" s="2">
        <v>10</v>
      </c>
      <c r="G75" s="2"/>
    </row>
    <row r="76" spans="1:26" customHeight="1" ht="18" hidden="true" outlineLevel="1">
      <c r="A76" s="2" t="s">
        <v>139</v>
      </c>
      <c r="B76" s="3" t="s">
        <v>140</v>
      </c>
      <c r="C76" s="2"/>
      <c r="D76" s="2" t="s">
        <v>16</v>
      </c>
      <c r="E76" s="4">
        <f>34.53*(1-Z1%)</f>
        <v>34.53</v>
      </c>
      <c r="F76" s="2">
        <v>10</v>
      </c>
      <c r="G76" s="2"/>
    </row>
    <row r="77" spans="1:26" customHeight="1" ht="18" hidden="true" outlineLevel="1">
      <c r="A77" s="2" t="s">
        <v>141</v>
      </c>
      <c r="B77" s="3" t="s">
        <v>142</v>
      </c>
      <c r="C77" s="2"/>
      <c r="D77" s="2" t="s">
        <v>16</v>
      </c>
      <c r="E77" s="4">
        <f>175.17*(1-Z1%)</f>
        <v>175.17</v>
      </c>
      <c r="F77" s="2">
        <v>5</v>
      </c>
      <c r="G77" s="2"/>
    </row>
    <row r="78" spans="1:26" customHeight="1" ht="18" hidden="true" outlineLevel="1">
      <c r="A78" s="2" t="s">
        <v>143</v>
      </c>
      <c r="B78" s="3" t="s">
        <v>144</v>
      </c>
      <c r="C78" s="2"/>
      <c r="D78" s="2" t="s">
        <v>16</v>
      </c>
      <c r="E78" s="4">
        <f>43.61*(1-Z1%)</f>
        <v>43.61</v>
      </c>
      <c r="F78" s="2">
        <v>20</v>
      </c>
      <c r="G78" s="2"/>
    </row>
    <row r="79" spans="1:26" customHeight="1" ht="18" hidden="true" outlineLevel="1">
      <c r="A79" s="2" t="s">
        <v>145</v>
      </c>
      <c r="B79" s="3" t="s">
        <v>146</v>
      </c>
      <c r="C79" s="2"/>
      <c r="D79" s="2" t="s">
        <v>16</v>
      </c>
      <c r="E79" s="4">
        <f>1361.25*(1-Z1%)</f>
        <v>1361.25</v>
      </c>
      <c r="F79" s="2">
        <v>9</v>
      </c>
      <c r="G79" s="2"/>
    </row>
    <row r="80" spans="1:26" customHeight="1" ht="18" hidden="true" outlineLevel="1">
      <c r="A80" s="2" t="s">
        <v>147</v>
      </c>
      <c r="B80" s="3" t="s">
        <v>148</v>
      </c>
      <c r="C80" s="2"/>
      <c r="D80" s="2" t="s">
        <v>16</v>
      </c>
      <c r="E80" s="4">
        <f>1732.50*(1-Z1%)</f>
        <v>1732.5</v>
      </c>
      <c r="F80" s="2">
        <v>9</v>
      </c>
      <c r="G80" s="2"/>
    </row>
    <row r="81" spans="1:26" customHeight="1" ht="18" hidden="true" outlineLevel="1">
      <c r="A81" s="2" t="s">
        <v>149</v>
      </c>
      <c r="B81" s="3" t="s">
        <v>150</v>
      </c>
      <c r="C81" s="2"/>
      <c r="D81" s="2" t="s">
        <v>16</v>
      </c>
      <c r="E81" s="4">
        <f>47.66*(1-Z1%)</f>
        <v>47.66</v>
      </c>
      <c r="F81" s="2">
        <v>14</v>
      </c>
      <c r="G81" s="2"/>
    </row>
    <row r="82" spans="1:26" customHeight="1" ht="36" hidden="true" outlineLevel="1">
      <c r="A82" s="2" t="s">
        <v>151</v>
      </c>
      <c r="B82" s="3" t="s">
        <v>152</v>
      </c>
      <c r="C82" s="2"/>
      <c r="D82" s="2" t="s">
        <v>16</v>
      </c>
      <c r="E82" s="4">
        <f>90.63*(1-Z1%)</f>
        <v>90.63</v>
      </c>
      <c r="F82" s="2">
        <v>3</v>
      </c>
      <c r="G82" s="2"/>
    </row>
    <row r="83" spans="1:26" customHeight="1" ht="36" hidden="true" outlineLevel="1">
      <c r="A83" s="2" t="s">
        <v>153</v>
      </c>
      <c r="B83" s="3" t="s">
        <v>154</v>
      </c>
      <c r="C83" s="2"/>
      <c r="D83" s="2" t="s">
        <v>16</v>
      </c>
      <c r="E83" s="4">
        <f>680.63*(1-Z1%)</f>
        <v>680.63</v>
      </c>
      <c r="F83" s="2">
        <v>51</v>
      </c>
      <c r="G83" s="2"/>
    </row>
    <row r="84" spans="1:26" customHeight="1" ht="18" hidden="true" outlineLevel="1">
      <c r="A84" s="2" t="s">
        <v>155</v>
      </c>
      <c r="B84" s="3" t="s">
        <v>156</v>
      </c>
      <c r="C84" s="2"/>
      <c r="D84" s="2" t="s">
        <v>16</v>
      </c>
      <c r="E84" s="4">
        <f>100.04*(1-Z1%)</f>
        <v>100.04</v>
      </c>
      <c r="F84" s="2">
        <v>8</v>
      </c>
      <c r="G84" s="2"/>
    </row>
    <row r="85" spans="1:26" customHeight="1" ht="18" hidden="true" outlineLevel="1">
      <c r="A85" s="2" t="s">
        <v>157</v>
      </c>
      <c r="B85" s="3" t="s">
        <v>158</v>
      </c>
      <c r="C85" s="2"/>
      <c r="D85" s="2" t="s">
        <v>16</v>
      </c>
      <c r="E85" s="4">
        <f>246.89*(1-Z1%)</f>
        <v>246.89</v>
      </c>
      <c r="F85" s="2">
        <v>3</v>
      </c>
      <c r="G85" s="2"/>
    </row>
    <row r="86" spans="1:26" customHeight="1" ht="18" hidden="true" outlineLevel="1">
      <c r="A86" s="2" t="s">
        <v>159</v>
      </c>
      <c r="B86" s="3" t="s">
        <v>160</v>
      </c>
      <c r="C86" s="2"/>
      <c r="D86" s="2" t="s">
        <v>16</v>
      </c>
      <c r="E86" s="4">
        <f>98.30*(1-Z1%)</f>
        <v>98.3</v>
      </c>
      <c r="F86" s="2">
        <v>15</v>
      </c>
      <c r="G86" s="2"/>
    </row>
    <row r="87" spans="1:26" customHeight="1" ht="36" hidden="true" outlineLevel="1">
      <c r="A87" s="2" t="s">
        <v>161</v>
      </c>
      <c r="B87" s="3" t="s">
        <v>162</v>
      </c>
      <c r="C87" s="2"/>
      <c r="D87" s="2" t="s">
        <v>16</v>
      </c>
      <c r="E87" s="4">
        <f>1518.75*(1-Z1%)</f>
        <v>1518.75</v>
      </c>
      <c r="F87" s="2">
        <v>3</v>
      </c>
      <c r="G87" s="2"/>
    </row>
    <row r="88" spans="1:26" customHeight="1" ht="36" hidden="true" outlineLevel="1">
      <c r="A88" s="2" t="s">
        <v>163</v>
      </c>
      <c r="B88" s="3" t="s">
        <v>164</v>
      </c>
      <c r="C88" s="2"/>
      <c r="D88" s="2" t="s">
        <v>16</v>
      </c>
      <c r="E88" s="4">
        <f>1518.75*(1-Z1%)</f>
        <v>1518.75</v>
      </c>
      <c r="F88" s="2">
        <v>1</v>
      </c>
      <c r="G88" s="2"/>
    </row>
    <row r="89" spans="1:26" customHeight="1" ht="36" hidden="true" outlineLevel="1">
      <c r="A89" s="2" t="s">
        <v>165</v>
      </c>
      <c r="B89" s="3" t="s">
        <v>166</v>
      </c>
      <c r="C89" s="2"/>
      <c r="D89" s="2" t="s">
        <v>16</v>
      </c>
      <c r="E89" s="4">
        <f>1518.75*(1-Z1%)</f>
        <v>1518.75</v>
      </c>
      <c r="F89" s="2">
        <v>7</v>
      </c>
      <c r="G89" s="2"/>
    </row>
    <row r="90" spans="1:26" customHeight="1" ht="36" hidden="true" outlineLevel="1">
      <c r="A90" s="2" t="s">
        <v>167</v>
      </c>
      <c r="B90" s="3" t="s">
        <v>168</v>
      </c>
      <c r="C90" s="2"/>
      <c r="D90" s="2" t="s">
        <v>16</v>
      </c>
      <c r="E90" s="4">
        <f>661.49*(1-Z1%)</f>
        <v>661.49</v>
      </c>
      <c r="F90" s="2">
        <v>1</v>
      </c>
      <c r="G90" s="2"/>
    </row>
    <row r="91" spans="1:26" customHeight="1" ht="36" hidden="true" outlineLevel="1">
      <c r="A91" s="2" t="s">
        <v>169</v>
      </c>
      <c r="B91" s="3" t="s">
        <v>170</v>
      </c>
      <c r="C91" s="2"/>
      <c r="D91" s="2" t="s">
        <v>16</v>
      </c>
      <c r="E91" s="4">
        <f>840.50*(1-Z1%)</f>
        <v>840.5</v>
      </c>
      <c r="F91" s="2">
        <v>1</v>
      </c>
      <c r="G91" s="2"/>
    </row>
    <row r="92" spans="1:26" customHeight="1" ht="36" hidden="true" outlineLevel="1">
      <c r="A92" s="2" t="s">
        <v>171</v>
      </c>
      <c r="B92" s="3" t="s">
        <v>172</v>
      </c>
      <c r="C92" s="2"/>
      <c r="D92" s="2" t="s">
        <v>16</v>
      </c>
      <c r="E92" s="4">
        <f>79.13*(1-Z1%)</f>
        <v>79.13</v>
      </c>
      <c r="F92" s="2">
        <v>69</v>
      </c>
      <c r="G92" s="2"/>
    </row>
    <row r="93" spans="1:26" customHeight="1" ht="36" hidden="true" outlineLevel="1">
      <c r="A93" s="2" t="s">
        <v>173</v>
      </c>
      <c r="B93" s="3" t="s">
        <v>174</v>
      </c>
      <c r="C93" s="2"/>
      <c r="D93" s="2" t="s">
        <v>16</v>
      </c>
      <c r="E93" s="4">
        <f>104.71*(1-Z1%)</f>
        <v>104.71</v>
      </c>
      <c r="F93" s="2">
        <v>49</v>
      </c>
      <c r="G93" s="2"/>
    </row>
    <row r="94" spans="1:26" customHeight="1" ht="36" hidden="true" outlineLevel="1">
      <c r="A94" s="2" t="s">
        <v>175</v>
      </c>
      <c r="B94" s="3" t="s">
        <v>176</v>
      </c>
      <c r="C94" s="2"/>
      <c r="D94" s="2" t="s">
        <v>16</v>
      </c>
      <c r="E94" s="4">
        <f>54.01*(1-Z1%)</f>
        <v>54.01</v>
      </c>
      <c r="F94" s="2">
        <v>119</v>
      </c>
      <c r="G94" s="2"/>
    </row>
    <row r="95" spans="1:26" customHeight="1" ht="36" hidden="true" outlineLevel="1">
      <c r="A95" s="2" t="s">
        <v>177</v>
      </c>
      <c r="B95" s="3" t="s">
        <v>178</v>
      </c>
      <c r="C95" s="2"/>
      <c r="D95" s="2" t="s">
        <v>16</v>
      </c>
      <c r="E95" s="4">
        <f>65.85*(1-Z1%)</f>
        <v>65.85</v>
      </c>
      <c r="F95" s="2">
        <v>119</v>
      </c>
      <c r="G95" s="2"/>
    </row>
    <row r="96" spans="1:26" customHeight="1" ht="36" hidden="true" outlineLevel="1">
      <c r="A96" s="2" t="s">
        <v>179</v>
      </c>
      <c r="B96" s="3" t="s">
        <v>180</v>
      </c>
      <c r="C96" s="2"/>
      <c r="D96" s="2" t="s">
        <v>16</v>
      </c>
      <c r="E96" s="4">
        <f>113.18*(1-Z1%)</f>
        <v>113.18</v>
      </c>
      <c r="F96" s="2">
        <v>49</v>
      </c>
      <c r="G96" s="2"/>
    </row>
    <row r="97" spans="1:26" customHeight="1" ht="36" hidden="true" outlineLevel="1">
      <c r="A97" s="2" t="s">
        <v>181</v>
      </c>
      <c r="B97" s="3" t="s">
        <v>182</v>
      </c>
      <c r="C97" s="2"/>
      <c r="D97" s="2" t="s">
        <v>16</v>
      </c>
      <c r="E97" s="4">
        <f>217.12*(1-Z1%)</f>
        <v>217.12</v>
      </c>
      <c r="F97" s="2">
        <v>34</v>
      </c>
      <c r="G97" s="2"/>
    </row>
    <row r="98" spans="1:26" customHeight="1" ht="36" hidden="true" outlineLevel="1">
      <c r="A98" s="2" t="s">
        <v>183</v>
      </c>
      <c r="B98" s="3" t="s">
        <v>184</v>
      </c>
      <c r="C98" s="2"/>
      <c r="D98" s="2" t="s">
        <v>16</v>
      </c>
      <c r="E98" s="4">
        <f>35.82*(1-Z1%)</f>
        <v>35.82</v>
      </c>
      <c r="F98" s="2">
        <v>8</v>
      </c>
      <c r="G98" s="2"/>
    </row>
    <row r="99" spans="1:26" customHeight="1" ht="36" hidden="true" outlineLevel="1">
      <c r="A99" s="2" t="s">
        <v>185</v>
      </c>
      <c r="B99" s="3" t="s">
        <v>186</v>
      </c>
      <c r="C99" s="2"/>
      <c r="D99" s="2" t="s">
        <v>16</v>
      </c>
      <c r="E99" s="4">
        <f>35.82*(1-Z1%)</f>
        <v>35.82</v>
      </c>
      <c r="F99" s="2">
        <v>8</v>
      </c>
      <c r="G99" s="2"/>
    </row>
    <row r="100" spans="1:26" customHeight="1" ht="18" hidden="true" outlineLevel="1">
      <c r="A100" s="2" t="s">
        <v>187</v>
      </c>
      <c r="B100" s="3" t="s">
        <v>188</v>
      </c>
      <c r="C100" s="2"/>
      <c r="D100" s="2" t="s">
        <v>16</v>
      </c>
      <c r="E100" s="4">
        <f>114.17*(1-Z1%)</f>
        <v>114.17</v>
      </c>
      <c r="F100" s="2">
        <v>4</v>
      </c>
      <c r="G100" s="2"/>
    </row>
    <row r="101" spans="1:26" customHeight="1" ht="18" hidden="true" outlineLevel="1">
      <c r="A101" s="2" t="s">
        <v>189</v>
      </c>
      <c r="B101" s="3" t="s">
        <v>190</v>
      </c>
      <c r="C101" s="2"/>
      <c r="D101" s="2" t="s">
        <v>16</v>
      </c>
      <c r="E101" s="4">
        <f>159.52*(1-Z1%)</f>
        <v>159.52</v>
      </c>
      <c r="F101" s="2">
        <v>4</v>
      </c>
      <c r="G101" s="2"/>
    </row>
    <row r="102" spans="1:26" customHeight="1" ht="36" hidden="true" outlineLevel="1">
      <c r="A102" s="2" t="s">
        <v>191</v>
      </c>
      <c r="B102" s="3" t="s">
        <v>192</v>
      </c>
      <c r="C102" s="2"/>
      <c r="D102" s="2" t="s">
        <v>16</v>
      </c>
      <c r="E102" s="4">
        <f>53.87*(1-Z1%)</f>
        <v>53.87</v>
      </c>
      <c r="F102" s="2">
        <v>20</v>
      </c>
      <c r="G102" s="2"/>
    </row>
    <row r="103" spans="1:26" customHeight="1" ht="36" hidden="true" outlineLevel="1">
      <c r="A103" s="2" t="s">
        <v>193</v>
      </c>
      <c r="B103" s="3" t="s">
        <v>194</v>
      </c>
      <c r="C103" s="2"/>
      <c r="D103" s="2" t="s">
        <v>16</v>
      </c>
      <c r="E103" s="4">
        <f>435.20*(1-Z1%)</f>
        <v>435.2</v>
      </c>
      <c r="F103" s="2">
        <v>5</v>
      </c>
      <c r="G103" s="2"/>
    </row>
    <row r="104" spans="1:26" customHeight="1" ht="18" hidden="true" outlineLevel="1">
      <c r="A104" s="2" t="s">
        <v>195</v>
      </c>
      <c r="B104" s="3" t="s">
        <v>196</v>
      </c>
      <c r="C104" s="2"/>
      <c r="D104" s="2" t="s">
        <v>16</v>
      </c>
      <c r="E104" s="4">
        <f>97.58*(1-Z1%)</f>
        <v>97.58</v>
      </c>
      <c r="F104" s="2">
        <v>18</v>
      </c>
      <c r="G104" s="2"/>
    </row>
    <row r="105" spans="1:26" customHeight="1" ht="36" hidden="true" outlineLevel="1">
      <c r="A105" s="2" t="s">
        <v>197</v>
      </c>
      <c r="B105" s="3" t="s">
        <v>198</v>
      </c>
      <c r="C105" s="2"/>
      <c r="D105" s="2" t="s">
        <v>16</v>
      </c>
      <c r="E105" s="4">
        <f>200.93*(1-Z1%)</f>
        <v>200.93</v>
      </c>
      <c r="F105" s="2">
        <v>10</v>
      </c>
      <c r="G105" s="2"/>
    </row>
    <row r="106" spans="1:26" customHeight="1" ht="36" hidden="true" outlineLevel="1">
      <c r="A106" s="2" t="s">
        <v>199</v>
      </c>
      <c r="B106" s="3" t="s">
        <v>200</v>
      </c>
      <c r="C106" s="2"/>
      <c r="D106" s="2" t="s">
        <v>16</v>
      </c>
      <c r="E106" s="4">
        <f>295.83*(1-Z1%)</f>
        <v>295.83</v>
      </c>
      <c r="F106" s="2">
        <v>10</v>
      </c>
      <c r="G106" s="2"/>
    </row>
    <row r="107" spans="1:26" customHeight="1" ht="18" hidden="true" outlineLevel="1">
      <c r="A107" s="2" t="s">
        <v>201</v>
      </c>
      <c r="B107" s="3" t="s">
        <v>202</v>
      </c>
      <c r="C107" s="2"/>
      <c r="D107" s="2" t="s">
        <v>16</v>
      </c>
      <c r="E107" s="4">
        <f>172.82*(1-Z1%)</f>
        <v>172.82</v>
      </c>
      <c r="F107" s="2">
        <v>4</v>
      </c>
      <c r="G107" s="2"/>
    </row>
    <row r="108" spans="1:26" customHeight="1" ht="18" hidden="true" outlineLevel="1">
      <c r="A108" s="2" t="s">
        <v>203</v>
      </c>
      <c r="B108" s="3" t="s">
        <v>204</v>
      </c>
      <c r="C108" s="2"/>
      <c r="D108" s="2" t="s">
        <v>16</v>
      </c>
      <c r="E108" s="4">
        <f>108.16*(1-Z1%)</f>
        <v>108.16</v>
      </c>
      <c r="F108" s="2">
        <v>3</v>
      </c>
      <c r="G108" s="2"/>
    </row>
    <row r="109" spans="1:26" customHeight="1" ht="18" hidden="true" outlineLevel="1">
      <c r="A109" s="2" t="s">
        <v>205</v>
      </c>
      <c r="B109" s="3" t="s">
        <v>206</v>
      </c>
      <c r="C109" s="2"/>
      <c r="D109" s="2" t="s">
        <v>16</v>
      </c>
      <c r="E109" s="4">
        <f>202.21*(1-Z1%)</f>
        <v>202.21</v>
      </c>
      <c r="F109" s="2">
        <v>2</v>
      </c>
      <c r="G109" s="2"/>
    </row>
    <row r="110" spans="1:26" customHeight="1" ht="18" hidden="true" outlineLevel="1">
      <c r="A110" s="2" t="s">
        <v>207</v>
      </c>
      <c r="B110" s="3" t="s">
        <v>208</v>
      </c>
      <c r="C110" s="2"/>
      <c r="D110" s="2" t="s">
        <v>16</v>
      </c>
      <c r="E110" s="4">
        <f>101.11*(1-Z1%)</f>
        <v>101.11</v>
      </c>
      <c r="F110" s="2">
        <v>2</v>
      </c>
      <c r="G110" s="2"/>
    </row>
    <row r="111" spans="1:26" customHeight="1" ht="36" hidden="true" outlineLevel="1">
      <c r="A111" s="2" t="s">
        <v>209</v>
      </c>
      <c r="B111" s="3" t="s">
        <v>210</v>
      </c>
      <c r="C111" s="2"/>
      <c r="D111" s="2" t="s">
        <v>16</v>
      </c>
      <c r="E111" s="4">
        <f>160.36*(1-Z1%)</f>
        <v>160.36</v>
      </c>
      <c r="F111" s="2">
        <v>2</v>
      </c>
      <c r="G111" s="2"/>
    </row>
    <row r="112" spans="1:26" customHeight="1" ht="18" hidden="true" outlineLevel="1">
      <c r="A112" s="2" t="s">
        <v>211</v>
      </c>
      <c r="B112" s="3" t="s">
        <v>212</v>
      </c>
      <c r="C112" s="2"/>
      <c r="D112" s="2" t="s">
        <v>16</v>
      </c>
      <c r="E112" s="4">
        <f>83.88*(1-Z1%)</f>
        <v>83.88</v>
      </c>
      <c r="F112" s="2">
        <v>18</v>
      </c>
      <c r="G112" s="2"/>
    </row>
    <row r="113" spans="1:26" customHeight="1" ht="18" hidden="true" outlineLevel="1">
      <c r="A113" s="2" t="s">
        <v>213</v>
      </c>
      <c r="B113" s="3" t="s">
        <v>214</v>
      </c>
      <c r="C113" s="2"/>
      <c r="D113" s="2" t="s">
        <v>16</v>
      </c>
      <c r="E113" s="4">
        <f>2.51*(1-Z1%)</f>
        <v>2.51</v>
      </c>
      <c r="F113" s="2">
        <v>10</v>
      </c>
      <c r="G113" s="2"/>
    </row>
    <row r="114" spans="1:26" customHeight="1" ht="18" hidden="true" outlineLevel="1">
      <c r="A114" s="2" t="s">
        <v>215</v>
      </c>
      <c r="B114" s="3" t="s">
        <v>216</v>
      </c>
      <c r="C114" s="2"/>
      <c r="D114" s="2" t="s">
        <v>16</v>
      </c>
      <c r="E114" s="4">
        <f>5.23*(1-Z1%)</f>
        <v>5.23</v>
      </c>
      <c r="F114" s="2">
        <v>10</v>
      </c>
      <c r="G114" s="2"/>
    </row>
    <row r="115" spans="1:26" customHeight="1" ht="18" hidden="true" outlineLevel="1">
      <c r="A115" s="2" t="s">
        <v>217</v>
      </c>
      <c r="B115" s="3" t="s">
        <v>218</v>
      </c>
      <c r="C115" s="2"/>
      <c r="D115" s="2" t="s">
        <v>16</v>
      </c>
      <c r="E115" s="4">
        <f>6.83*(1-Z1%)</f>
        <v>6.83</v>
      </c>
      <c r="F115" s="2">
        <v>10</v>
      </c>
      <c r="G115" s="2"/>
    </row>
    <row r="116" spans="1:26" customHeight="1" ht="18" hidden="true" outlineLevel="1">
      <c r="A116" s="2" t="s">
        <v>219</v>
      </c>
      <c r="B116" s="3" t="s">
        <v>220</v>
      </c>
      <c r="C116" s="2"/>
      <c r="D116" s="2" t="s">
        <v>16</v>
      </c>
      <c r="E116" s="4">
        <f>6.50*(1-Z1%)</f>
        <v>6.5</v>
      </c>
      <c r="F116" s="2">
        <v>10</v>
      </c>
      <c r="G116" s="2"/>
    </row>
    <row r="117" spans="1:26" customHeight="1" ht="18" hidden="true" outlineLevel="1">
      <c r="A117" s="2" t="s">
        <v>221</v>
      </c>
      <c r="B117" s="3" t="s">
        <v>222</v>
      </c>
      <c r="C117" s="2"/>
      <c r="D117" s="2" t="s">
        <v>16</v>
      </c>
      <c r="E117" s="4">
        <f>6.94*(1-Z1%)</f>
        <v>6.94</v>
      </c>
      <c r="F117" s="2">
        <v>10</v>
      </c>
      <c r="G117" s="2"/>
    </row>
    <row r="118" spans="1:26" customHeight="1" ht="18" hidden="true" outlineLevel="1">
      <c r="A118" s="2" t="s">
        <v>223</v>
      </c>
      <c r="B118" s="3" t="s">
        <v>224</v>
      </c>
      <c r="C118" s="2"/>
      <c r="D118" s="2" t="s">
        <v>16</v>
      </c>
      <c r="E118" s="4">
        <f>2.39*(1-Z1%)</f>
        <v>2.39</v>
      </c>
      <c r="F118" s="2">
        <v>10</v>
      </c>
      <c r="G118" s="2"/>
    </row>
    <row r="119" spans="1:26" customHeight="1" ht="18" hidden="true" outlineLevel="1">
      <c r="A119" s="2" t="s">
        <v>225</v>
      </c>
      <c r="B119" s="3" t="s">
        <v>226</v>
      </c>
      <c r="C119" s="2"/>
      <c r="D119" s="2" t="s">
        <v>16</v>
      </c>
      <c r="E119" s="4">
        <f>3.47*(1-Z1%)</f>
        <v>3.47</v>
      </c>
      <c r="F119" s="2">
        <v>10</v>
      </c>
      <c r="G119" s="2"/>
    </row>
    <row r="120" spans="1:26" customHeight="1" ht="18" hidden="true" outlineLevel="1">
      <c r="A120" s="2" t="s">
        <v>227</v>
      </c>
      <c r="B120" s="3" t="s">
        <v>228</v>
      </c>
      <c r="C120" s="2"/>
      <c r="D120" s="2" t="s">
        <v>16</v>
      </c>
      <c r="E120" s="4">
        <f>9.31*(1-Z1%)</f>
        <v>9.31</v>
      </c>
      <c r="F120" s="2">
        <v>10</v>
      </c>
      <c r="G120" s="2"/>
    </row>
    <row r="121" spans="1:26" customHeight="1" ht="18" hidden="true" outlineLevel="1">
      <c r="A121" s="2" t="s">
        <v>229</v>
      </c>
      <c r="B121" s="3" t="s">
        <v>230</v>
      </c>
      <c r="C121" s="2"/>
      <c r="D121" s="2" t="s">
        <v>16</v>
      </c>
      <c r="E121" s="4">
        <f>12.24*(1-Z1%)</f>
        <v>12.24</v>
      </c>
      <c r="F121" s="2">
        <v>10</v>
      </c>
      <c r="G121" s="2"/>
    </row>
    <row r="122" spans="1:26" customHeight="1" ht="18" hidden="true" outlineLevel="1">
      <c r="A122" s="2" t="s">
        <v>231</v>
      </c>
      <c r="B122" s="3" t="s">
        <v>232</v>
      </c>
      <c r="C122" s="2"/>
      <c r="D122" s="2" t="s">
        <v>16</v>
      </c>
      <c r="E122" s="4">
        <f>2.49*(1-Z1%)</f>
        <v>2.49</v>
      </c>
      <c r="F122" s="2">
        <v>30</v>
      </c>
      <c r="G122" s="2"/>
    </row>
    <row r="123" spans="1:26" customHeight="1" ht="18" hidden="true" outlineLevel="1">
      <c r="A123" s="2" t="s">
        <v>233</v>
      </c>
      <c r="B123" s="3" t="s">
        <v>234</v>
      </c>
      <c r="C123" s="2"/>
      <c r="D123" s="2" t="s">
        <v>16</v>
      </c>
      <c r="E123" s="4">
        <f>99.20*(1-Z1%)</f>
        <v>99.2</v>
      </c>
      <c r="F123" s="2">
        <v>5</v>
      </c>
      <c r="G123" s="2"/>
    </row>
    <row r="124" spans="1:26" customHeight="1" ht="18" hidden="true" outlineLevel="1">
      <c r="A124" s="2" t="s">
        <v>235</v>
      </c>
      <c r="B124" s="3" t="s">
        <v>236</v>
      </c>
      <c r="C124" s="2"/>
      <c r="D124" s="2" t="s">
        <v>16</v>
      </c>
      <c r="E124" s="4">
        <f>433.48*(1-Z1%)</f>
        <v>433.48</v>
      </c>
      <c r="F124" s="2">
        <v>2</v>
      </c>
      <c r="G124" s="2"/>
    </row>
    <row r="125" spans="1:26" customHeight="1" ht="18" hidden="true" outlineLevel="1">
      <c r="A125" s="2" t="s">
        <v>237</v>
      </c>
      <c r="B125" s="3" t="s">
        <v>238</v>
      </c>
      <c r="C125" s="2"/>
      <c r="D125" s="2" t="s">
        <v>16</v>
      </c>
      <c r="E125" s="4">
        <f>297.00*(1-Z1%)</f>
        <v>297</v>
      </c>
      <c r="F125" s="2">
        <v>4</v>
      </c>
      <c r="G125" s="2"/>
    </row>
    <row r="126" spans="1:26" customHeight="1" ht="36" hidden="true" outlineLevel="1">
      <c r="A126" s="2" t="s">
        <v>239</v>
      </c>
      <c r="B126" s="3" t="s">
        <v>240</v>
      </c>
      <c r="C126" s="2"/>
      <c r="D126" s="2" t="s">
        <v>16</v>
      </c>
      <c r="E126" s="4">
        <f>617.20*(1-Z1%)</f>
        <v>617.2</v>
      </c>
      <c r="F126" s="2">
        <v>3</v>
      </c>
      <c r="G126" s="2"/>
    </row>
    <row r="127" spans="1:26" customHeight="1" ht="36" hidden="true" outlineLevel="1">
      <c r="A127" s="2" t="s">
        <v>241</v>
      </c>
      <c r="B127" s="3" t="s">
        <v>242</v>
      </c>
      <c r="C127" s="2"/>
      <c r="D127" s="2" t="s">
        <v>16</v>
      </c>
      <c r="E127" s="4">
        <f>652.47*(1-Z1%)</f>
        <v>652.47</v>
      </c>
      <c r="F127" s="2">
        <v>3</v>
      </c>
      <c r="G127" s="2"/>
    </row>
    <row r="128" spans="1:26" customHeight="1" ht="18" hidden="true" outlineLevel="1">
      <c r="A128" s="2" t="s">
        <v>243</v>
      </c>
      <c r="B128" s="3" t="s">
        <v>244</v>
      </c>
      <c r="C128" s="2"/>
      <c r="D128" s="2" t="s">
        <v>16</v>
      </c>
      <c r="E128" s="4">
        <f>174.00*(1-Z1%)</f>
        <v>174</v>
      </c>
      <c r="F128" s="2">
        <v>2</v>
      </c>
      <c r="G128" s="2"/>
    </row>
    <row r="129" spans="1:26" customHeight="1" ht="18" hidden="true" outlineLevel="1">
      <c r="A129" s="2" t="s">
        <v>245</v>
      </c>
      <c r="B129" s="3" t="s">
        <v>246</v>
      </c>
      <c r="C129" s="2"/>
      <c r="D129" s="2" t="s">
        <v>16</v>
      </c>
      <c r="E129" s="4">
        <f>174.00*(1-Z1%)</f>
        <v>174</v>
      </c>
      <c r="F129" s="2">
        <v>2</v>
      </c>
      <c r="G129" s="2"/>
    </row>
    <row r="130" spans="1:26" customHeight="1" ht="18" hidden="true" outlineLevel="1">
      <c r="A130" s="2" t="s">
        <v>247</v>
      </c>
      <c r="B130" s="3" t="s">
        <v>248</v>
      </c>
      <c r="C130" s="2"/>
      <c r="D130" s="2" t="s">
        <v>16</v>
      </c>
      <c r="E130" s="4">
        <f>316.24*(1-Z1%)</f>
        <v>316.24</v>
      </c>
      <c r="F130" s="2">
        <v>2</v>
      </c>
      <c r="G130" s="2"/>
    </row>
    <row r="131" spans="1:26" customHeight="1" ht="36" hidden="true" outlineLevel="1">
      <c r="A131" s="2" t="s">
        <v>249</v>
      </c>
      <c r="B131" s="3" t="s">
        <v>250</v>
      </c>
      <c r="C131" s="2"/>
      <c r="D131" s="2" t="s">
        <v>16</v>
      </c>
      <c r="E131" s="4">
        <f>417.35*(1-Z1%)</f>
        <v>417.35</v>
      </c>
      <c r="F131" s="2">
        <v>2</v>
      </c>
      <c r="G131" s="2"/>
    </row>
    <row r="132" spans="1:26" customHeight="1" ht="18" hidden="true" outlineLevel="1">
      <c r="A132" s="2" t="s">
        <v>251</v>
      </c>
      <c r="B132" s="3" t="s">
        <v>252</v>
      </c>
      <c r="C132" s="2"/>
      <c r="D132" s="2" t="s">
        <v>16</v>
      </c>
      <c r="E132" s="4">
        <f>711.57*(1-Z1%)</f>
        <v>711.57</v>
      </c>
      <c r="F132" s="2">
        <v>2</v>
      </c>
      <c r="G132" s="2"/>
    </row>
    <row r="133" spans="1:26" customHeight="1" ht="18" hidden="true" outlineLevel="1">
      <c r="A133" s="2" t="s">
        <v>253</v>
      </c>
      <c r="B133" s="3" t="s">
        <v>254</v>
      </c>
      <c r="C133" s="2"/>
      <c r="D133" s="2" t="s">
        <v>16</v>
      </c>
      <c r="E133" s="4">
        <f>74.61*(1-Z1%)</f>
        <v>74.61</v>
      </c>
      <c r="F133" s="2">
        <v>16</v>
      </c>
      <c r="G133" s="2"/>
    </row>
    <row r="134" spans="1:26" customHeight="1" ht="18" hidden="true" outlineLevel="1">
      <c r="A134" s="2" t="s">
        <v>255</v>
      </c>
      <c r="B134" s="3" t="s">
        <v>256</v>
      </c>
      <c r="C134" s="2"/>
      <c r="D134" s="2" t="s">
        <v>16</v>
      </c>
      <c r="E134" s="4">
        <f>63.05*(1-Z1%)</f>
        <v>63.05</v>
      </c>
      <c r="F134" s="2">
        <v>17</v>
      </c>
      <c r="G134" s="2"/>
    </row>
    <row r="135" spans="1:26" customHeight="1" ht="36" hidden="true" outlineLevel="1">
      <c r="A135" s="2" t="s">
        <v>257</v>
      </c>
      <c r="B135" s="3" t="s">
        <v>258</v>
      </c>
      <c r="C135" s="2"/>
      <c r="D135" s="2" t="s">
        <v>16</v>
      </c>
      <c r="E135" s="4">
        <f>82.05*(1-Z1%)</f>
        <v>82.05</v>
      </c>
      <c r="F135" s="2">
        <v>7</v>
      </c>
      <c r="G135" s="2"/>
    </row>
    <row r="136" spans="1:26" customHeight="1" ht="36" hidden="true" outlineLevel="1">
      <c r="A136" s="2" t="s">
        <v>259</v>
      </c>
      <c r="B136" s="3" t="s">
        <v>260</v>
      </c>
      <c r="C136" s="2"/>
      <c r="D136" s="2" t="s">
        <v>16</v>
      </c>
      <c r="E136" s="4">
        <f>618.75*(1-Z1%)</f>
        <v>618.75</v>
      </c>
      <c r="F136" s="2">
        <v>10</v>
      </c>
      <c r="G136" s="2"/>
    </row>
    <row r="137" spans="1:26" customHeight="1" ht="18" hidden="true" outlineLevel="1">
      <c r="A137" s="2" t="s">
        <v>261</v>
      </c>
      <c r="B137" s="3" t="s">
        <v>262</v>
      </c>
      <c r="C137" s="2"/>
      <c r="D137" s="2" t="s">
        <v>16</v>
      </c>
      <c r="E137" s="4">
        <f>452.62*(1-Z1%)</f>
        <v>452.62</v>
      </c>
      <c r="F137" s="2">
        <v>1</v>
      </c>
      <c r="G137" s="2"/>
    </row>
    <row r="138" spans="1:26" customHeight="1" ht="36" hidden="true" outlineLevel="1">
      <c r="A138" s="2" t="s">
        <v>263</v>
      </c>
      <c r="B138" s="3" t="s">
        <v>264</v>
      </c>
      <c r="C138" s="2"/>
      <c r="D138" s="2" t="s">
        <v>16</v>
      </c>
      <c r="E138" s="4">
        <f>578.84*(1-Z1%)</f>
        <v>578.84</v>
      </c>
      <c r="F138" s="2">
        <v>5</v>
      </c>
      <c r="G138" s="2"/>
    </row>
    <row r="139" spans="1:26" customHeight="1" ht="18" hidden="true" outlineLevel="1">
      <c r="A139" s="2" t="s">
        <v>265</v>
      </c>
      <c r="B139" s="3" t="s">
        <v>266</v>
      </c>
      <c r="C139" s="2"/>
      <c r="D139" s="2" t="s">
        <v>16</v>
      </c>
      <c r="E139" s="4">
        <f>193.99*(1-Z1%)</f>
        <v>193.99</v>
      </c>
      <c r="F139" s="2">
        <v>1</v>
      </c>
      <c r="G139" s="2"/>
    </row>
    <row r="140" spans="1:26" customHeight="1" ht="36" hidden="true" outlineLevel="1">
      <c r="A140" s="2" t="s">
        <v>267</v>
      </c>
      <c r="B140" s="3" t="s">
        <v>268</v>
      </c>
      <c r="C140" s="2"/>
      <c r="D140" s="2" t="s">
        <v>16</v>
      </c>
      <c r="E140" s="4">
        <f>53.63*(1-Z1%)</f>
        <v>53.63</v>
      </c>
      <c r="F140" s="2">
        <v>8</v>
      </c>
      <c r="G140" s="2"/>
    </row>
    <row r="141" spans="1:26" customHeight="1" ht="36" hidden="true" outlineLevel="1">
      <c r="A141" s="2" t="s">
        <v>269</v>
      </c>
      <c r="B141" s="3" t="s">
        <v>270</v>
      </c>
      <c r="C141" s="2"/>
      <c r="D141" s="2" t="s">
        <v>16</v>
      </c>
      <c r="E141" s="4">
        <f>54.80*(1-Z1%)</f>
        <v>54.8</v>
      </c>
      <c r="F141" s="2">
        <v>8</v>
      </c>
      <c r="G141" s="2"/>
    </row>
    <row r="142" spans="1:26" customHeight="1" ht="35">
      <c r="A142" s="1" t="s">
        <v>271</v>
      </c>
      <c r="B142" s="1"/>
      <c r="C142" s="1"/>
      <c r="D142" s="1"/>
      <c r="E142" s="1"/>
      <c r="F142" s="1"/>
      <c r="G142" s="1"/>
    </row>
    <row r="143" spans="1:26" customHeight="1" ht="35" hidden="true" outlineLevel="2">
      <c r="A143" s="5" t="s">
        <v>272</v>
      </c>
      <c r="B143" s="5"/>
      <c r="C143" s="5"/>
      <c r="D143" s="5"/>
      <c r="E143" s="5"/>
      <c r="F143" s="5"/>
      <c r="G143" s="5"/>
    </row>
    <row r="144" spans="1:26" customHeight="1" ht="35" hidden="true" outlineLevel="3">
      <c r="A144" s="5" t="s">
        <v>273</v>
      </c>
      <c r="B144" s="5"/>
      <c r="C144" s="5"/>
      <c r="D144" s="5"/>
      <c r="E144" s="5"/>
      <c r="F144" s="5"/>
      <c r="G144" s="5"/>
    </row>
    <row r="145" spans="1:26" customHeight="1" ht="35" hidden="true" outlineLevel="4">
      <c r="A145" s="5" t="s">
        <v>274</v>
      </c>
      <c r="B145" s="5"/>
      <c r="C145" s="5"/>
      <c r="D145" s="5"/>
      <c r="E145" s="5"/>
      <c r="F145" s="5"/>
      <c r="G145" s="5"/>
    </row>
    <row r="146" spans="1:26" customHeight="1" ht="35" hidden="true" outlineLevel="5">
      <c r="A146" s="5" t="s">
        <v>274</v>
      </c>
      <c r="B146" s="5"/>
      <c r="C146" s="5"/>
      <c r="D146" s="5"/>
      <c r="E146" s="5"/>
      <c r="F146" s="5"/>
      <c r="G146" s="5"/>
    </row>
    <row r="147" spans="1:26" customHeight="1" ht="18" hidden="true" outlineLevel="5">
      <c r="A147" s="2" t="s">
        <v>275</v>
      </c>
      <c r="B147" s="3" t="s">
        <v>276</v>
      </c>
      <c r="C147" s="2"/>
      <c r="D147" s="2" t="s">
        <v>16</v>
      </c>
      <c r="E147" s="4">
        <f>1653.29*(1-Z1%)</f>
        <v>1653.29</v>
      </c>
      <c r="F147" s="2">
        <v>2</v>
      </c>
      <c r="G147" s="2"/>
    </row>
    <row r="148" spans="1:26" customHeight="1" ht="18" hidden="true" outlineLevel="5">
      <c r="A148" s="2" t="s">
        <v>277</v>
      </c>
      <c r="B148" s="3" t="s">
        <v>278</v>
      </c>
      <c r="C148" s="2"/>
      <c r="D148" s="2" t="s">
        <v>16</v>
      </c>
      <c r="E148" s="4">
        <f>875.52*(1-Z1%)</f>
        <v>875.52</v>
      </c>
      <c r="F148" s="2">
        <v>2</v>
      </c>
      <c r="G148" s="2"/>
    </row>
    <row r="149" spans="1:26" customHeight="1" ht="18" hidden="true" outlineLevel="5">
      <c r="A149" s="2" t="s">
        <v>279</v>
      </c>
      <c r="B149" s="3" t="s">
        <v>280</v>
      </c>
      <c r="C149" s="2"/>
      <c r="D149" s="2" t="s">
        <v>16</v>
      </c>
      <c r="E149" s="4">
        <f>2290.12*(1-Z1%)</f>
        <v>2290.12</v>
      </c>
      <c r="F149" s="2">
        <v>2</v>
      </c>
      <c r="G149" s="2"/>
    </row>
    <row r="150" spans="1:26" customHeight="1" ht="18" hidden="true" outlineLevel="5">
      <c r="A150" s="2" t="s">
        <v>281</v>
      </c>
      <c r="B150" s="3" t="s">
        <v>282</v>
      </c>
      <c r="C150" s="2"/>
      <c r="D150" s="2" t="s">
        <v>16</v>
      </c>
      <c r="E150" s="4">
        <f>1731.70*(1-Z1%)</f>
        <v>1731.7</v>
      </c>
      <c r="F150" s="2">
        <v>2</v>
      </c>
      <c r="G150" s="2"/>
    </row>
    <row r="151" spans="1:26" customHeight="1" ht="18" hidden="true" outlineLevel="5">
      <c r="A151" s="2" t="s">
        <v>283</v>
      </c>
      <c r="B151" s="3" t="s">
        <v>284</v>
      </c>
      <c r="C151" s="2"/>
      <c r="D151" s="2" t="s">
        <v>16</v>
      </c>
      <c r="E151" s="4">
        <f>1955.06*(1-Z1%)</f>
        <v>1955.06</v>
      </c>
      <c r="F151" s="2">
        <v>4</v>
      </c>
      <c r="G151" s="2"/>
    </row>
    <row r="152" spans="1:26" customHeight="1" ht="36" hidden="true" outlineLevel="5">
      <c r="A152" s="2" t="s">
        <v>285</v>
      </c>
      <c r="B152" s="3" t="s">
        <v>286</v>
      </c>
      <c r="C152" s="2"/>
      <c r="D152" s="2" t="s">
        <v>16</v>
      </c>
      <c r="E152" s="4">
        <f>817.43*(1-Z1%)</f>
        <v>817.43</v>
      </c>
      <c r="F152" s="2">
        <v>2</v>
      </c>
      <c r="G152" s="2"/>
    </row>
    <row r="153" spans="1:26" customHeight="1" ht="18" hidden="true" outlineLevel="5">
      <c r="A153" s="2" t="s">
        <v>287</v>
      </c>
      <c r="B153" s="3" t="s">
        <v>288</v>
      </c>
      <c r="C153" s="2"/>
      <c r="D153" s="2" t="s">
        <v>16</v>
      </c>
      <c r="E153" s="4">
        <f>2116.83*(1-Z1%)</f>
        <v>2116.83</v>
      </c>
      <c r="F153" s="2">
        <v>1</v>
      </c>
      <c r="G153" s="2"/>
    </row>
    <row r="154" spans="1:26" customHeight="1" ht="18" hidden="true" outlineLevel="5">
      <c r="A154" s="2" t="s">
        <v>289</v>
      </c>
      <c r="B154" s="3" t="s">
        <v>290</v>
      </c>
      <c r="C154" s="2"/>
      <c r="D154" s="2" t="s">
        <v>16</v>
      </c>
      <c r="E154" s="4">
        <f>2159.96*(1-Z1%)</f>
        <v>2159.96</v>
      </c>
      <c r="F154" s="2">
        <v>1</v>
      </c>
      <c r="G154" s="2"/>
    </row>
    <row r="155" spans="1:26" customHeight="1" ht="18" hidden="true" outlineLevel="5">
      <c r="A155" s="2" t="s">
        <v>291</v>
      </c>
      <c r="B155" s="3" t="s">
        <v>292</v>
      </c>
      <c r="C155" s="2"/>
      <c r="D155" s="2" t="s">
        <v>16</v>
      </c>
      <c r="E155" s="4">
        <f>3057.08*(1-Z1%)</f>
        <v>3057.08</v>
      </c>
      <c r="F155" s="2">
        <v>1</v>
      </c>
      <c r="G155" s="2"/>
    </row>
    <row r="156" spans="1:26" customHeight="1" ht="18" hidden="true" outlineLevel="5">
      <c r="A156" s="2" t="s">
        <v>293</v>
      </c>
      <c r="B156" s="3" t="s">
        <v>294</v>
      </c>
      <c r="C156" s="2"/>
      <c r="D156" s="2" t="s">
        <v>16</v>
      </c>
      <c r="E156" s="4">
        <f>1869.98*(1-Z1%)</f>
        <v>1869.98</v>
      </c>
      <c r="F156" s="2">
        <v>5</v>
      </c>
      <c r="G156" s="2"/>
    </row>
    <row r="157" spans="1:26" customHeight="1" ht="35" hidden="true" outlineLevel="5">
      <c r="A157" s="5" t="s">
        <v>295</v>
      </c>
      <c r="B157" s="5"/>
      <c r="C157" s="5"/>
      <c r="D157" s="5"/>
      <c r="E157" s="5"/>
      <c r="F157" s="5"/>
      <c r="G157" s="5"/>
    </row>
    <row r="158" spans="1:26" customHeight="1" ht="18" hidden="true" outlineLevel="5">
      <c r="A158" s="2" t="s">
        <v>296</v>
      </c>
      <c r="B158" s="3" t="s">
        <v>297</v>
      </c>
      <c r="C158" s="2"/>
      <c r="D158" s="2" t="s">
        <v>16</v>
      </c>
      <c r="E158" s="4">
        <f>2180.02*(1-Z1%)</f>
        <v>2180.02</v>
      </c>
      <c r="F158" s="2">
        <v>3</v>
      </c>
      <c r="G158" s="2"/>
    </row>
    <row r="159" spans="1:26" customHeight="1" ht="18" hidden="true" outlineLevel="5">
      <c r="A159" s="2" t="s">
        <v>298</v>
      </c>
      <c r="B159" s="3" t="s">
        <v>299</v>
      </c>
      <c r="C159" s="2"/>
      <c r="D159" s="2" t="s">
        <v>16</v>
      </c>
      <c r="E159" s="4">
        <f>695.12*(1-Z1%)</f>
        <v>695.12</v>
      </c>
      <c r="F159" s="2">
        <v>4</v>
      </c>
      <c r="G159" s="2"/>
    </row>
    <row r="160" spans="1:26" customHeight="1" ht="18" hidden="true" outlineLevel="5">
      <c r="A160" s="2" t="s">
        <v>300</v>
      </c>
      <c r="B160" s="3" t="s">
        <v>301</v>
      </c>
      <c r="C160" s="2"/>
      <c r="D160" s="2" t="s">
        <v>16</v>
      </c>
      <c r="E160" s="4">
        <f>1637.33*(1-Z1%)</f>
        <v>1637.33</v>
      </c>
      <c r="F160" s="2">
        <v>3</v>
      </c>
      <c r="G160" s="2"/>
    </row>
    <row r="161" spans="1:26" customHeight="1" ht="18" hidden="true" outlineLevel="5">
      <c r="A161" s="2" t="s">
        <v>302</v>
      </c>
      <c r="B161" s="3" t="s">
        <v>303</v>
      </c>
      <c r="C161" s="2"/>
      <c r="D161" s="2" t="s">
        <v>16</v>
      </c>
      <c r="E161" s="4">
        <f>1931.77*(1-Z1%)</f>
        <v>1931.77</v>
      </c>
      <c r="F161" s="2">
        <v>5</v>
      </c>
      <c r="G161" s="2"/>
    </row>
    <row r="162" spans="1:26" customHeight="1" ht="35" hidden="true" outlineLevel="5">
      <c r="A162" s="5" t="s">
        <v>304</v>
      </c>
      <c r="B162" s="5"/>
      <c r="C162" s="5"/>
      <c r="D162" s="5"/>
      <c r="E162" s="5"/>
      <c r="F162" s="5"/>
      <c r="G162" s="5"/>
    </row>
    <row r="163" spans="1:26" customHeight="1" ht="36" hidden="true" outlineLevel="5">
      <c r="A163" s="2" t="s">
        <v>305</v>
      </c>
      <c r="B163" s="3" t="s">
        <v>306</v>
      </c>
      <c r="C163" s="2"/>
      <c r="D163" s="2" t="s">
        <v>16</v>
      </c>
      <c r="E163" s="4">
        <f>2178.43*(1-Z1%)</f>
        <v>2178.43</v>
      </c>
      <c r="F163" s="2">
        <v>1</v>
      </c>
      <c r="G163" s="2"/>
    </row>
    <row r="164" spans="1:26" customHeight="1" ht="18" hidden="true" outlineLevel="5">
      <c r="A164" s="2" t="s">
        <v>307</v>
      </c>
      <c r="B164" s="3" t="s">
        <v>308</v>
      </c>
      <c r="C164" s="2"/>
      <c r="D164" s="2" t="s">
        <v>16</v>
      </c>
      <c r="E164" s="4">
        <f>2178.43*(1-Z1%)</f>
        <v>2178.43</v>
      </c>
      <c r="F164" s="2">
        <v>1</v>
      </c>
      <c r="G164" s="2"/>
    </row>
    <row r="165" spans="1:26" customHeight="1" ht="18" hidden="true" outlineLevel="5">
      <c r="A165" s="2" t="s">
        <v>309</v>
      </c>
      <c r="B165" s="3" t="s">
        <v>310</v>
      </c>
      <c r="C165" s="2"/>
      <c r="D165" s="2" t="s">
        <v>16</v>
      </c>
      <c r="E165" s="4">
        <f>2808.13*(1-Z1%)</f>
        <v>2808.13</v>
      </c>
      <c r="F165" s="2">
        <v>2</v>
      </c>
      <c r="G165" s="2"/>
    </row>
    <row r="166" spans="1:26" customHeight="1" ht="18" hidden="true" outlineLevel="5">
      <c r="A166" s="2" t="s">
        <v>311</v>
      </c>
      <c r="B166" s="3" t="s">
        <v>312</v>
      </c>
      <c r="C166" s="2"/>
      <c r="D166" s="2" t="s">
        <v>16</v>
      </c>
      <c r="E166" s="4">
        <f>2550.20*(1-Z1%)</f>
        <v>2550.2</v>
      </c>
      <c r="F166" s="2">
        <v>3</v>
      </c>
      <c r="G166" s="2"/>
    </row>
    <row r="167" spans="1:26" customHeight="1" ht="18" hidden="true" outlineLevel="5">
      <c r="A167" s="2" t="s">
        <v>313</v>
      </c>
      <c r="B167" s="3" t="s">
        <v>314</v>
      </c>
      <c r="C167" s="2"/>
      <c r="D167" s="2" t="s">
        <v>16</v>
      </c>
      <c r="E167" s="4">
        <f>1977.52*(1-Z1%)</f>
        <v>1977.52</v>
      </c>
      <c r="F167" s="2">
        <v>2</v>
      </c>
      <c r="G167" s="2"/>
    </row>
    <row r="168" spans="1:26" customHeight="1" ht="35" hidden="true" outlineLevel="4">
      <c r="A168" s="5" t="s">
        <v>315</v>
      </c>
      <c r="B168" s="5"/>
      <c r="C168" s="5"/>
      <c r="D168" s="5"/>
      <c r="E168" s="5"/>
      <c r="F168" s="5"/>
      <c r="G168" s="5"/>
    </row>
    <row r="169" spans="1:26" customHeight="1" ht="35" hidden="true" outlineLevel="5">
      <c r="A169" s="5" t="s">
        <v>316</v>
      </c>
      <c r="B169" s="5"/>
      <c r="C169" s="5"/>
      <c r="D169" s="5"/>
      <c r="E169" s="5"/>
      <c r="F169" s="5"/>
      <c r="G169" s="5"/>
    </row>
    <row r="170" spans="1:26" customHeight="1" ht="36" hidden="true" outlineLevel="5">
      <c r="A170" s="2" t="s">
        <v>317</v>
      </c>
      <c r="B170" s="3" t="s">
        <v>318</v>
      </c>
      <c r="C170" s="2"/>
      <c r="D170" s="2" t="s">
        <v>16</v>
      </c>
      <c r="E170" s="4">
        <f>790.92*(1-Z1%)</f>
        <v>790.92</v>
      </c>
      <c r="F170" s="2">
        <v>1</v>
      </c>
      <c r="G170" s="2"/>
    </row>
    <row r="171" spans="1:26" customHeight="1" ht="35" hidden="true" outlineLevel="4">
      <c r="A171" s="5" t="s">
        <v>319</v>
      </c>
      <c r="B171" s="5"/>
      <c r="C171" s="5"/>
      <c r="D171" s="5"/>
      <c r="E171" s="5"/>
      <c r="F171" s="5"/>
      <c r="G171" s="5"/>
    </row>
    <row r="172" spans="1:26" customHeight="1" ht="36" hidden="true" outlineLevel="4">
      <c r="A172" s="2" t="s">
        <v>320</v>
      </c>
      <c r="B172" s="3" t="s">
        <v>321</v>
      </c>
      <c r="C172" s="2"/>
      <c r="D172" s="2" t="s">
        <v>16</v>
      </c>
      <c r="E172" s="4">
        <f>80.44*(1-Z1%)</f>
        <v>80.44</v>
      </c>
      <c r="F172" s="2">
        <v>5</v>
      </c>
      <c r="G172" s="2"/>
    </row>
    <row r="173" spans="1:26" customHeight="1" ht="36" hidden="true" outlineLevel="4">
      <c r="A173" s="2" t="s">
        <v>322</v>
      </c>
      <c r="B173" s="3" t="s">
        <v>323</v>
      </c>
      <c r="C173" s="2"/>
      <c r="D173" s="2" t="s">
        <v>16</v>
      </c>
      <c r="E173" s="4">
        <f>80.44*(1-Z1%)</f>
        <v>80.44</v>
      </c>
      <c r="F173" s="2">
        <v>20</v>
      </c>
      <c r="G173" s="2"/>
    </row>
    <row r="174" spans="1:26" customHeight="1" ht="36" hidden="true" outlineLevel="4">
      <c r="A174" s="2" t="s">
        <v>324</v>
      </c>
      <c r="B174" s="3" t="s">
        <v>325</v>
      </c>
      <c r="C174" s="2"/>
      <c r="D174" s="2" t="s">
        <v>16</v>
      </c>
      <c r="E174" s="4">
        <f>98.05*(1-Z1%)</f>
        <v>98.05</v>
      </c>
      <c r="F174" s="2">
        <v>6</v>
      </c>
      <c r="G174" s="2"/>
    </row>
    <row r="175" spans="1:26" customHeight="1" ht="36" hidden="true" outlineLevel="4">
      <c r="A175" s="2" t="s">
        <v>326</v>
      </c>
      <c r="B175" s="3" t="s">
        <v>327</v>
      </c>
      <c r="C175" s="2"/>
      <c r="D175" s="2" t="s">
        <v>16</v>
      </c>
      <c r="E175" s="4">
        <f>118.60*(1-Z1%)</f>
        <v>118.6</v>
      </c>
      <c r="F175" s="2">
        <v>16</v>
      </c>
      <c r="G175" s="2"/>
    </row>
    <row r="176" spans="1:26" customHeight="1" ht="36" hidden="true" outlineLevel="4">
      <c r="A176" s="2" t="s">
        <v>328</v>
      </c>
      <c r="B176" s="3" t="s">
        <v>329</v>
      </c>
      <c r="C176" s="2"/>
      <c r="D176" s="2" t="s">
        <v>16</v>
      </c>
      <c r="E176" s="4">
        <f>98.05*(1-Z1%)</f>
        <v>98.05</v>
      </c>
      <c r="F176" s="2">
        <v>7</v>
      </c>
      <c r="G176" s="2"/>
    </row>
    <row r="177" spans="1:26" customHeight="1" ht="36" hidden="true" outlineLevel="4">
      <c r="A177" s="2" t="s">
        <v>330</v>
      </c>
      <c r="B177" s="3" t="s">
        <v>331</v>
      </c>
      <c r="C177" s="2"/>
      <c r="D177" s="2" t="s">
        <v>16</v>
      </c>
      <c r="E177" s="4">
        <f>118.60*(1-Z1%)</f>
        <v>118.6</v>
      </c>
      <c r="F177" s="2">
        <v>8</v>
      </c>
      <c r="G177" s="2"/>
    </row>
    <row r="178" spans="1:26" customHeight="1" ht="36" hidden="true" outlineLevel="4">
      <c r="A178" s="2" t="s">
        <v>332</v>
      </c>
      <c r="B178" s="3" t="s">
        <v>333</v>
      </c>
      <c r="C178" s="2"/>
      <c r="D178" s="2" t="s">
        <v>16</v>
      </c>
      <c r="E178" s="4">
        <f>167.35*(1-Z1%)</f>
        <v>167.35</v>
      </c>
      <c r="F178" s="2">
        <v>3</v>
      </c>
      <c r="G178" s="2"/>
    </row>
    <row r="179" spans="1:26" customHeight="1" ht="36" hidden="true" outlineLevel="4">
      <c r="A179" s="2" t="s">
        <v>334</v>
      </c>
      <c r="B179" s="3" t="s">
        <v>335</v>
      </c>
      <c r="C179" s="2"/>
      <c r="D179" s="2" t="s">
        <v>16</v>
      </c>
      <c r="E179" s="4">
        <f>111.38*(1-Z1%)</f>
        <v>111.38</v>
      </c>
      <c r="F179" s="2">
        <v>11</v>
      </c>
      <c r="G179" s="2"/>
    </row>
    <row r="180" spans="1:26" customHeight="1" ht="36" hidden="true" outlineLevel="4">
      <c r="A180" s="2" t="s">
        <v>336</v>
      </c>
      <c r="B180" s="3" t="s">
        <v>337</v>
      </c>
      <c r="C180" s="2"/>
      <c r="D180" s="2" t="s">
        <v>16</v>
      </c>
      <c r="E180" s="4">
        <f>58.46*(1-Z1%)</f>
        <v>58.46</v>
      </c>
      <c r="F180" s="2">
        <v>4</v>
      </c>
      <c r="G180" s="2"/>
    </row>
    <row r="181" spans="1:26" customHeight="1" ht="36" hidden="true" outlineLevel="4">
      <c r="A181" s="2" t="s">
        <v>338</v>
      </c>
      <c r="B181" s="3" t="s">
        <v>339</v>
      </c>
      <c r="C181" s="2"/>
      <c r="D181" s="2" t="s">
        <v>16</v>
      </c>
      <c r="E181" s="4">
        <f>86.73*(1-Z1%)</f>
        <v>86.73</v>
      </c>
      <c r="F181" s="2">
        <v>4</v>
      </c>
      <c r="G181" s="2"/>
    </row>
    <row r="182" spans="1:26" customHeight="1" ht="36" hidden="true" outlineLevel="4">
      <c r="A182" s="2" t="s">
        <v>340</v>
      </c>
      <c r="B182" s="3" t="s">
        <v>341</v>
      </c>
      <c r="C182" s="2"/>
      <c r="D182" s="2" t="s">
        <v>16</v>
      </c>
      <c r="E182" s="4">
        <f>94.01*(1-Z1%)</f>
        <v>94.01</v>
      </c>
      <c r="F182" s="2">
        <v>10</v>
      </c>
      <c r="G182" s="2"/>
    </row>
    <row r="183" spans="1:26" customHeight="1" ht="35" hidden="true" outlineLevel="4">
      <c r="A183" s="5" t="s">
        <v>342</v>
      </c>
      <c r="B183" s="5"/>
      <c r="C183" s="5"/>
      <c r="D183" s="5"/>
      <c r="E183" s="5"/>
      <c r="F183" s="5"/>
      <c r="G183" s="5"/>
    </row>
    <row r="184" spans="1:26" customHeight="1" ht="36" hidden="true" outlineLevel="4">
      <c r="A184" s="2" t="s">
        <v>343</v>
      </c>
      <c r="B184" s="3" t="s">
        <v>344</v>
      </c>
      <c r="C184" s="2"/>
      <c r="D184" s="2" t="s">
        <v>16</v>
      </c>
      <c r="E184" s="4">
        <f>215.18*(1-Z1%)</f>
        <v>215.18</v>
      </c>
      <c r="F184" s="2">
        <v>39</v>
      </c>
      <c r="G184" s="2"/>
    </row>
    <row r="185" spans="1:26" customHeight="1" ht="36" hidden="true" outlineLevel="4">
      <c r="A185" s="2" t="s">
        <v>345</v>
      </c>
      <c r="B185" s="3" t="s">
        <v>346</v>
      </c>
      <c r="C185" s="2"/>
      <c r="D185" s="2" t="s">
        <v>16</v>
      </c>
      <c r="E185" s="4">
        <f>251.49*(1-Z1%)</f>
        <v>251.49</v>
      </c>
      <c r="F185" s="2">
        <v>22</v>
      </c>
      <c r="G185" s="2"/>
    </row>
    <row r="186" spans="1:26" customHeight="1" ht="36" hidden="true" outlineLevel="4">
      <c r="A186" s="2" t="s">
        <v>347</v>
      </c>
      <c r="B186" s="3" t="s">
        <v>348</v>
      </c>
      <c r="C186" s="2"/>
      <c r="D186" s="2" t="s">
        <v>16</v>
      </c>
      <c r="E186" s="4">
        <f>170.47*(1-Z1%)</f>
        <v>170.47</v>
      </c>
      <c r="F186" s="2">
        <v>125</v>
      </c>
      <c r="G186" s="2"/>
    </row>
    <row r="187" spans="1:26" customHeight="1" ht="36" hidden="true" outlineLevel="4">
      <c r="A187" s="2" t="s">
        <v>349</v>
      </c>
      <c r="B187" s="3" t="s">
        <v>350</v>
      </c>
      <c r="C187" s="2"/>
      <c r="D187" s="2" t="s">
        <v>16</v>
      </c>
      <c r="E187" s="4">
        <f>110.49*(1-Z1%)</f>
        <v>110.49</v>
      </c>
      <c r="F187" s="2">
        <v>59</v>
      </c>
      <c r="G187" s="2"/>
    </row>
    <row r="188" spans="1:26" customHeight="1" ht="36" hidden="true" outlineLevel="4">
      <c r="A188" s="2" t="s">
        <v>351</v>
      </c>
      <c r="B188" s="3" t="s">
        <v>352</v>
      </c>
      <c r="C188" s="2"/>
      <c r="D188" s="2" t="s">
        <v>16</v>
      </c>
      <c r="E188" s="4">
        <f>271.69*(1-Z1%)</f>
        <v>271.69</v>
      </c>
      <c r="F188" s="2">
        <v>5</v>
      </c>
      <c r="G188" s="2"/>
    </row>
    <row r="189" spans="1:26" customHeight="1" ht="18" hidden="true" outlineLevel="4">
      <c r="A189" s="2" t="s">
        <v>353</v>
      </c>
      <c r="B189" s="3" t="s">
        <v>354</v>
      </c>
      <c r="C189" s="2"/>
      <c r="D189" s="2" t="s">
        <v>16</v>
      </c>
      <c r="E189" s="4">
        <f>88.17*(1-Z1%)</f>
        <v>88.17</v>
      </c>
      <c r="F189" s="2">
        <v>90</v>
      </c>
      <c r="G189" s="2"/>
    </row>
    <row r="190" spans="1:26" customHeight="1" ht="35" hidden="true" outlineLevel="4">
      <c r="A190" s="5" t="s">
        <v>355</v>
      </c>
      <c r="B190" s="5"/>
      <c r="C190" s="5"/>
      <c r="D190" s="5"/>
      <c r="E190" s="5"/>
      <c r="F190" s="5"/>
      <c r="G190" s="5"/>
    </row>
    <row r="191" spans="1:26" customHeight="1" ht="36" hidden="true" outlineLevel="4">
      <c r="A191" s="2" t="s">
        <v>356</v>
      </c>
      <c r="B191" s="3" t="s">
        <v>357</v>
      </c>
      <c r="C191" s="2"/>
      <c r="D191" s="2" t="s">
        <v>16</v>
      </c>
      <c r="E191" s="4">
        <f>73.13*(1-Z1%)</f>
        <v>73.13</v>
      </c>
      <c r="F191" s="2">
        <v>2</v>
      </c>
      <c r="G191" s="2"/>
    </row>
    <row r="192" spans="1:26" customHeight="1" ht="36" hidden="true" outlineLevel="4">
      <c r="A192" s="2" t="s">
        <v>358</v>
      </c>
      <c r="B192" s="3" t="s">
        <v>359</v>
      </c>
      <c r="C192" s="2"/>
      <c r="D192" s="2" t="s">
        <v>16</v>
      </c>
      <c r="E192" s="4">
        <f>70.54*(1-Z1%)</f>
        <v>70.54</v>
      </c>
      <c r="F192" s="2">
        <v>28</v>
      </c>
      <c r="G192" s="2"/>
    </row>
    <row r="193" spans="1:26" customHeight="1" ht="36" hidden="true" outlineLevel="4">
      <c r="A193" s="2" t="s">
        <v>360</v>
      </c>
      <c r="B193" s="3" t="s">
        <v>361</v>
      </c>
      <c r="C193" s="2"/>
      <c r="D193" s="2" t="s">
        <v>16</v>
      </c>
      <c r="E193" s="4">
        <f>73.13*(1-Z1%)</f>
        <v>73.13</v>
      </c>
      <c r="F193" s="2">
        <v>8</v>
      </c>
      <c r="G193" s="2"/>
    </row>
    <row r="194" spans="1:26" customHeight="1" ht="36" hidden="true" outlineLevel="4">
      <c r="A194" s="2" t="s">
        <v>362</v>
      </c>
      <c r="B194" s="3" t="s">
        <v>363</v>
      </c>
      <c r="C194" s="2"/>
      <c r="D194" s="2" t="s">
        <v>16</v>
      </c>
      <c r="E194" s="4">
        <f>70.54*(1-Z1%)</f>
        <v>70.54</v>
      </c>
      <c r="F194" s="2">
        <v>18</v>
      </c>
      <c r="G194" s="2"/>
    </row>
    <row r="195" spans="1:26" customHeight="1" ht="36" hidden="true" outlineLevel="4">
      <c r="A195" s="2" t="s">
        <v>364</v>
      </c>
      <c r="B195" s="3" t="s">
        <v>365</v>
      </c>
      <c r="C195" s="2"/>
      <c r="D195" s="2" t="s">
        <v>16</v>
      </c>
      <c r="E195" s="4">
        <f>70.54*(1-Z1%)</f>
        <v>70.54</v>
      </c>
      <c r="F195" s="2">
        <v>5</v>
      </c>
      <c r="G195" s="2"/>
    </row>
    <row r="196" spans="1:26" customHeight="1" ht="36" hidden="true" outlineLevel="4">
      <c r="A196" s="2" t="s">
        <v>366</v>
      </c>
      <c r="B196" s="3" t="s">
        <v>367</v>
      </c>
      <c r="C196" s="2"/>
      <c r="D196" s="2" t="s">
        <v>16</v>
      </c>
      <c r="E196" s="4">
        <f>73.13*(1-Z1%)</f>
        <v>73.13</v>
      </c>
      <c r="F196" s="2">
        <v>26</v>
      </c>
      <c r="G196" s="2"/>
    </row>
    <row r="197" spans="1:26" customHeight="1" ht="36" hidden="true" outlineLevel="4">
      <c r="A197" s="2" t="s">
        <v>368</v>
      </c>
      <c r="B197" s="3" t="s">
        <v>369</v>
      </c>
      <c r="C197" s="2"/>
      <c r="D197" s="2" t="s">
        <v>16</v>
      </c>
      <c r="E197" s="4">
        <f>70.54*(1-Z1%)</f>
        <v>70.54</v>
      </c>
      <c r="F197" s="2">
        <v>5</v>
      </c>
      <c r="G197" s="2"/>
    </row>
    <row r="198" spans="1:26" customHeight="1" ht="36" hidden="true" outlineLevel="4">
      <c r="A198" s="2" t="s">
        <v>370</v>
      </c>
      <c r="B198" s="3" t="s">
        <v>371</v>
      </c>
      <c r="C198" s="2"/>
      <c r="D198" s="2" t="s">
        <v>16</v>
      </c>
      <c r="E198" s="4">
        <f>69.83*(1-Z1%)</f>
        <v>69.83</v>
      </c>
      <c r="F198" s="2">
        <v>28</v>
      </c>
      <c r="G198" s="2"/>
    </row>
    <row r="199" spans="1:26" customHeight="1" ht="35" hidden="true" outlineLevel="3">
      <c r="A199" s="5" t="s">
        <v>372</v>
      </c>
      <c r="B199" s="5"/>
      <c r="C199" s="5"/>
      <c r="D199" s="5"/>
      <c r="E199" s="5"/>
      <c r="F199" s="5"/>
      <c r="G199" s="5"/>
    </row>
    <row r="200" spans="1:26" customHeight="1" ht="35" hidden="true" outlineLevel="4">
      <c r="A200" s="5" t="s">
        <v>373</v>
      </c>
      <c r="B200" s="5"/>
      <c r="C200" s="5"/>
      <c r="D200" s="5"/>
      <c r="E200" s="5"/>
      <c r="F200" s="5"/>
      <c r="G200" s="5"/>
    </row>
    <row r="201" spans="1:26" customHeight="1" ht="35" hidden="true" outlineLevel="5">
      <c r="A201" s="5" t="s">
        <v>374</v>
      </c>
      <c r="B201" s="5"/>
      <c r="C201" s="5"/>
      <c r="D201" s="5"/>
      <c r="E201" s="5"/>
      <c r="F201" s="5"/>
      <c r="G201" s="5"/>
    </row>
    <row r="202" spans="1:26" customHeight="1" ht="36" hidden="true" outlineLevel="5">
      <c r="A202" s="2" t="s">
        <v>375</v>
      </c>
      <c r="B202" s="3" t="s">
        <v>376</v>
      </c>
      <c r="C202" s="2"/>
      <c r="D202" s="2" t="s">
        <v>16</v>
      </c>
      <c r="E202" s="4">
        <f>222.75*(1-Z1%)</f>
        <v>222.75</v>
      </c>
      <c r="F202" s="2">
        <v>11</v>
      </c>
      <c r="G202" s="2"/>
    </row>
    <row r="203" spans="1:26" customHeight="1" ht="36" hidden="true" outlineLevel="5">
      <c r="A203" s="2" t="s">
        <v>377</v>
      </c>
      <c r="B203" s="3" t="s">
        <v>378</v>
      </c>
      <c r="C203" s="2"/>
      <c r="D203" s="2" t="s">
        <v>16</v>
      </c>
      <c r="E203" s="4">
        <f>216.57*(1-Z1%)</f>
        <v>216.57</v>
      </c>
      <c r="F203" s="2">
        <v>13</v>
      </c>
      <c r="G203" s="2"/>
    </row>
    <row r="204" spans="1:26" customHeight="1" ht="36" hidden="true" outlineLevel="5">
      <c r="A204" s="2" t="s">
        <v>379</v>
      </c>
      <c r="B204" s="3" t="s">
        <v>380</v>
      </c>
      <c r="C204" s="2"/>
      <c r="D204" s="2" t="s">
        <v>16</v>
      </c>
      <c r="E204" s="4">
        <f>167.07*(1-Z1%)</f>
        <v>167.07</v>
      </c>
      <c r="F204" s="2">
        <v>19</v>
      </c>
      <c r="G204" s="2"/>
    </row>
    <row r="205" spans="1:26" customHeight="1" ht="35" hidden="true" outlineLevel="4">
      <c r="A205" s="5" t="s">
        <v>381</v>
      </c>
      <c r="B205" s="5"/>
      <c r="C205" s="5"/>
      <c r="D205" s="5"/>
      <c r="E205" s="5"/>
      <c r="F205" s="5"/>
      <c r="G205" s="5"/>
    </row>
    <row r="206" spans="1:26" customHeight="1" ht="36" hidden="true" outlineLevel="4">
      <c r="A206" s="2" t="s">
        <v>382</v>
      </c>
      <c r="B206" s="3" t="s">
        <v>383</v>
      </c>
      <c r="C206" s="2"/>
      <c r="D206" s="2" t="s">
        <v>16</v>
      </c>
      <c r="E206" s="4">
        <f>259.88*(1-Z1%)</f>
        <v>259.88</v>
      </c>
      <c r="F206" s="2">
        <v>10</v>
      </c>
      <c r="G206" s="2"/>
    </row>
    <row r="207" spans="1:26" customHeight="1" ht="36" hidden="true" outlineLevel="4">
      <c r="A207" s="2" t="s">
        <v>384</v>
      </c>
      <c r="B207" s="3" t="s">
        <v>385</v>
      </c>
      <c r="C207" s="2"/>
      <c r="D207" s="2" t="s">
        <v>16</v>
      </c>
      <c r="E207" s="4">
        <f>123.75*(1-Z1%)</f>
        <v>123.75</v>
      </c>
      <c r="F207" s="2">
        <v>17</v>
      </c>
      <c r="G207" s="2"/>
    </row>
    <row r="208" spans="1:26" customHeight="1" ht="36" hidden="true" outlineLevel="4">
      <c r="A208" s="2" t="s">
        <v>386</v>
      </c>
      <c r="B208" s="3" t="s">
        <v>387</v>
      </c>
      <c r="C208" s="2"/>
      <c r="D208" s="2" t="s">
        <v>16</v>
      </c>
      <c r="E208" s="4">
        <f>179.44*(1-Z1%)</f>
        <v>179.44</v>
      </c>
      <c r="F208" s="2">
        <v>1</v>
      </c>
      <c r="G208" s="2"/>
    </row>
    <row r="209" spans="1:26" customHeight="1" ht="36" hidden="true" outlineLevel="4">
      <c r="A209" s="2" t="s">
        <v>388</v>
      </c>
      <c r="B209" s="3" t="s">
        <v>389</v>
      </c>
      <c r="C209" s="2"/>
      <c r="D209" s="2" t="s">
        <v>16</v>
      </c>
      <c r="E209" s="4">
        <f>204.19*(1-Z1%)</f>
        <v>204.19</v>
      </c>
      <c r="F209" s="2">
        <v>5</v>
      </c>
      <c r="G209" s="2"/>
    </row>
    <row r="210" spans="1:26" customHeight="1" ht="35" hidden="true" outlineLevel="3">
      <c r="A210" s="5" t="s">
        <v>390</v>
      </c>
      <c r="B210" s="5"/>
      <c r="C210" s="5"/>
      <c r="D210" s="5"/>
      <c r="E210" s="5"/>
      <c r="F210" s="5"/>
      <c r="G210" s="5"/>
    </row>
    <row r="211" spans="1:26" customHeight="1" ht="35" hidden="true" outlineLevel="4">
      <c r="A211" s="5" t="s">
        <v>391</v>
      </c>
      <c r="B211" s="5"/>
      <c r="C211" s="5"/>
      <c r="D211" s="5"/>
      <c r="E211" s="5"/>
      <c r="F211" s="5"/>
      <c r="G211" s="5"/>
    </row>
    <row r="212" spans="1:26" customHeight="1" ht="18" hidden="true" outlineLevel="4">
      <c r="A212" s="2" t="s">
        <v>392</v>
      </c>
      <c r="B212" s="3" t="s">
        <v>393</v>
      </c>
      <c r="C212" s="2"/>
      <c r="D212" s="2" t="s">
        <v>16</v>
      </c>
      <c r="E212" s="4">
        <f>450.21*(1-Z1%)</f>
        <v>450.21</v>
      </c>
      <c r="F212" s="2">
        <v>6</v>
      </c>
      <c r="G212" s="2"/>
    </row>
    <row r="213" spans="1:26" customHeight="1" ht="36" hidden="true" outlineLevel="4">
      <c r="A213" s="2" t="s">
        <v>394</v>
      </c>
      <c r="B213" s="3" t="s">
        <v>395</v>
      </c>
      <c r="C213" s="2"/>
      <c r="D213" s="2" t="s">
        <v>16</v>
      </c>
      <c r="E213" s="4">
        <f>336.51*(1-Z1%)</f>
        <v>336.51</v>
      </c>
      <c r="F213" s="2">
        <v>5</v>
      </c>
      <c r="G213" s="2"/>
    </row>
    <row r="214" spans="1:26" customHeight="1" ht="18" hidden="true" outlineLevel="4">
      <c r="A214" s="2" t="s">
        <v>396</v>
      </c>
      <c r="B214" s="3" t="s">
        <v>397</v>
      </c>
      <c r="C214" s="2"/>
      <c r="D214" s="2" t="s">
        <v>16</v>
      </c>
      <c r="E214" s="4">
        <f>224.73*(1-Z1%)</f>
        <v>224.73</v>
      </c>
      <c r="F214" s="2">
        <v>2</v>
      </c>
      <c r="G214" s="2"/>
    </row>
    <row r="215" spans="1:26" customHeight="1" ht="18" hidden="true" outlineLevel="4">
      <c r="A215" s="2" t="s">
        <v>398</v>
      </c>
      <c r="B215" s="3" t="s">
        <v>399</v>
      </c>
      <c r="C215" s="2"/>
      <c r="D215" s="2" t="s">
        <v>16</v>
      </c>
      <c r="E215" s="4">
        <f>380.69*(1-Z1%)</f>
        <v>380.69</v>
      </c>
      <c r="F215" s="2">
        <v>2</v>
      </c>
      <c r="G215" s="2"/>
    </row>
    <row r="216" spans="1:26" customHeight="1" ht="18" hidden="true" outlineLevel="4">
      <c r="A216" s="2" t="s">
        <v>400</v>
      </c>
      <c r="B216" s="3" t="s">
        <v>401</v>
      </c>
      <c r="C216" s="2"/>
      <c r="D216" s="2" t="s">
        <v>16</v>
      </c>
      <c r="E216" s="4">
        <f>211.19*(1-Z1%)</f>
        <v>211.19</v>
      </c>
      <c r="F216" s="2">
        <v>7</v>
      </c>
      <c r="G216" s="2"/>
    </row>
    <row r="217" spans="1:26" customHeight="1" ht="18" hidden="true" outlineLevel="4">
      <c r="A217" s="2" t="s">
        <v>402</v>
      </c>
      <c r="B217" s="3" t="s">
        <v>403</v>
      </c>
      <c r="C217" s="2"/>
      <c r="D217" s="2" t="s">
        <v>16</v>
      </c>
      <c r="E217" s="4">
        <f>162.45*(1-Z1%)</f>
        <v>162.45</v>
      </c>
      <c r="F217" s="2">
        <v>5</v>
      </c>
      <c r="G217" s="2"/>
    </row>
    <row r="218" spans="1:26" customHeight="1" ht="18" hidden="true" outlineLevel="4">
      <c r="A218" s="2" t="s">
        <v>404</v>
      </c>
      <c r="B218" s="3" t="s">
        <v>405</v>
      </c>
      <c r="C218" s="2"/>
      <c r="D218" s="2" t="s">
        <v>16</v>
      </c>
      <c r="E218" s="4">
        <f>337.99*(1-Z1%)</f>
        <v>337.99</v>
      </c>
      <c r="F218" s="2">
        <v>1</v>
      </c>
      <c r="G218" s="2"/>
    </row>
    <row r="219" spans="1:26" customHeight="1" ht="18" hidden="true" outlineLevel="4">
      <c r="A219" s="2" t="s">
        <v>406</v>
      </c>
      <c r="B219" s="3" t="s">
        <v>407</v>
      </c>
      <c r="C219" s="2"/>
      <c r="D219" s="2" t="s">
        <v>16</v>
      </c>
      <c r="E219" s="4">
        <f>295.08*(1-Z1%)</f>
        <v>295.08</v>
      </c>
      <c r="F219" s="2">
        <v>2</v>
      </c>
      <c r="G219" s="2"/>
    </row>
    <row r="220" spans="1:26" customHeight="1" ht="18" hidden="true" outlineLevel="4">
      <c r="A220" s="2" t="s">
        <v>408</v>
      </c>
      <c r="B220" s="3" t="s">
        <v>409</v>
      </c>
      <c r="C220" s="2"/>
      <c r="D220" s="2" t="s">
        <v>16</v>
      </c>
      <c r="E220" s="4">
        <f>239.66*(1-Z1%)</f>
        <v>239.66</v>
      </c>
      <c r="F220" s="2">
        <v>1</v>
      </c>
      <c r="G220" s="2"/>
    </row>
    <row r="221" spans="1:26" customHeight="1" ht="18" hidden="true" outlineLevel="4">
      <c r="A221" s="2" t="s">
        <v>410</v>
      </c>
      <c r="B221" s="3" t="s">
        <v>411</v>
      </c>
      <c r="C221" s="2"/>
      <c r="D221" s="2" t="s">
        <v>16</v>
      </c>
      <c r="E221" s="4">
        <f>308.51*(1-Z1%)</f>
        <v>308.51</v>
      </c>
      <c r="F221" s="2">
        <v>2</v>
      </c>
      <c r="G221" s="2"/>
    </row>
    <row r="222" spans="1:26" customHeight="1" ht="18" hidden="true" outlineLevel="4">
      <c r="A222" s="2" t="s">
        <v>412</v>
      </c>
      <c r="B222" s="3" t="s">
        <v>413</v>
      </c>
      <c r="C222" s="2"/>
      <c r="D222" s="2" t="s">
        <v>16</v>
      </c>
      <c r="E222" s="4">
        <f>278.29*(1-Z1%)</f>
        <v>278.29</v>
      </c>
      <c r="F222" s="2">
        <v>2</v>
      </c>
      <c r="G222" s="2"/>
    </row>
    <row r="223" spans="1:26" customHeight="1" ht="18" hidden="true" outlineLevel="4">
      <c r="A223" s="2" t="s">
        <v>414</v>
      </c>
      <c r="B223" s="3" t="s">
        <v>415</v>
      </c>
      <c r="C223" s="2"/>
      <c r="D223" s="2" t="s">
        <v>16</v>
      </c>
      <c r="E223" s="4">
        <f>316.97*(1-Z1%)</f>
        <v>316.97</v>
      </c>
      <c r="F223" s="2">
        <v>4</v>
      </c>
      <c r="G223" s="2"/>
    </row>
    <row r="224" spans="1:26" customHeight="1" ht="18" hidden="true" outlineLevel="4">
      <c r="A224" s="2" t="s">
        <v>416</v>
      </c>
      <c r="B224" s="3" t="s">
        <v>417</v>
      </c>
      <c r="C224" s="2"/>
      <c r="D224" s="2" t="s">
        <v>16</v>
      </c>
      <c r="E224" s="4">
        <f>227.21*(1-Z1%)</f>
        <v>227.21</v>
      </c>
      <c r="F224" s="2">
        <v>1</v>
      </c>
      <c r="G224" s="2"/>
    </row>
    <row r="225" spans="1:26" customHeight="1" ht="18" hidden="true" outlineLevel="4">
      <c r="A225" s="2" t="s">
        <v>418</v>
      </c>
      <c r="B225" s="3" t="s">
        <v>419</v>
      </c>
      <c r="C225" s="2"/>
      <c r="D225" s="2" t="s">
        <v>16</v>
      </c>
      <c r="E225" s="4">
        <f>332.81*(1-Z1%)</f>
        <v>332.81</v>
      </c>
      <c r="F225" s="2">
        <v>4</v>
      </c>
      <c r="G225" s="2"/>
    </row>
    <row r="226" spans="1:26" customHeight="1" ht="18" hidden="true" outlineLevel="4">
      <c r="A226" s="2" t="s">
        <v>420</v>
      </c>
      <c r="B226" s="3" t="s">
        <v>421</v>
      </c>
      <c r="C226" s="2"/>
      <c r="D226" s="2" t="s">
        <v>16</v>
      </c>
      <c r="E226" s="4">
        <f>332.81*(1-Z1%)</f>
        <v>332.81</v>
      </c>
      <c r="F226" s="2">
        <v>6</v>
      </c>
      <c r="G226" s="2"/>
    </row>
    <row r="227" spans="1:26" customHeight="1" ht="18" hidden="true" outlineLevel="4">
      <c r="A227" s="2" t="s">
        <v>422</v>
      </c>
      <c r="B227" s="3" t="s">
        <v>423</v>
      </c>
      <c r="C227" s="2"/>
      <c r="D227" s="2" t="s">
        <v>16</v>
      </c>
      <c r="E227" s="4">
        <f>599.09*(1-Z1%)</f>
        <v>599.09</v>
      </c>
      <c r="F227" s="2">
        <v>4</v>
      </c>
      <c r="G227" s="2"/>
    </row>
    <row r="228" spans="1:26" customHeight="1" ht="18" hidden="true" outlineLevel="4">
      <c r="A228" s="2" t="s">
        <v>424</v>
      </c>
      <c r="B228" s="3" t="s">
        <v>425</v>
      </c>
      <c r="C228" s="2"/>
      <c r="D228" s="2" t="s">
        <v>16</v>
      </c>
      <c r="E228" s="4">
        <f>637.56*(1-Z1%)</f>
        <v>637.56</v>
      </c>
      <c r="F228" s="2">
        <v>1</v>
      </c>
      <c r="G228" s="2"/>
    </row>
    <row r="229" spans="1:26" customHeight="1" ht="18" hidden="true" outlineLevel="4">
      <c r="A229" s="2" t="s">
        <v>426</v>
      </c>
      <c r="B229" s="3" t="s">
        <v>427</v>
      </c>
      <c r="C229" s="2"/>
      <c r="D229" s="2" t="s">
        <v>16</v>
      </c>
      <c r="E229" s="4">
        <f>584.78*(1-Z1%)</f>
        <v>584.78</v>
      </c>
      <c r="F229" s="2">
        <v>2</v>
      </c>
      <c r="G229" s="2"/>
    </row>
    <row r="230" spans="1:26" customHeight="1" ht="18" hidden="true" outlineLevel="4">
      <c r="A230" s="2" t="s">
        <v>428</v>
      </c>
      <c r="B230" s="3" t="s">
        <v>429</v>
      </c>
      <c r="C230" s="2"/>
      <c r="D230" s="2" t="s">
        <v>16</v>
      </c>
      <c r="E230" s="4">
        <f>469.90*(1-Z1%)</f>
        <v>469.9</v>
      </c>
      <c r="F230" s="2">
        <v>5</v>
      </c>
      <c r="G230" s="2"/>
    </row>
    <row r="231" spans="1:26" customHeight="1" ht="18" hidden="true" outlineLevel="4">
      <c r="A231" s="2" t="s">
        <v>430</v>
      </c>
      <c r="B231" s="3" t="s">
        <v>431</v>
      </c>
      <c r="C231" s="2"/>
      <c r="D231" s="2" t="s">
        <v>16</v>
      </c>
      <c r="E231" s="4">
        <f>264.25*(1-Z1%)</f>
        <v>264.25</v>
      </c>
      <c r="F231" s="2">
        <v>4</v>
      </c>
      <c r="G231" s="2"/>
    </row>
    <row r="232" spans="1:26" customHeight="1" ht="18" hidden="true" outlineLevel="4">
      <c r="A232" s="2" t="s">
        <v>432</v>
      </c>
      <c r="B232" s="3" t="s">
        <v>433</v>
      </c>
      <c r="C232" s="2"/>
      <c r="D232" s="2" t="s">
        <v>16</v>
      </c>
      <c r="E232" s="4">
        <f>256.17*(1-Z1%)</f>
        <v>256.17</v>
      </c>
      <c r="F232" s="2">
        <v>2</v>
      </c>
      <c r="G232" s="2"/>
    </row>
    <row r="233" spans="1:26" customHeight="1" ht="35" hidden="true" outlineLevel="4">
      <c r="A233" s="5" t="s">
        <v>434</v>
      </c>
      <c r="B233" s="5"/>
      <c r="C233" s="5"/>
      <c r="D233" s="5"/>
      <c r="E233" s="5"/>
      <c r="F233" s="5"/>
      <c r="G233" s="5"/>
    </row>
    <row r="234" spans="1:26" customHeight="1" ht="36" hidden="true" outlineLevel="4">
      <c r="A234" s="2" t="s">
        <v>435</v>
      </c>
      <c r="B234" s="3" t="s">
        <v>436</v>
      </c>
      <c r="C234" s="2"/>
      <c r="D234" s="2" t="s">
        <v>16</v>
      </c>
      <c r="E234" s="4">
        <f>699.50*(1-Z1%)</f>
        <v>699.5</v>
      </c>
      <c r="F234" s="2">
        <v>1</v>
      </c>
      <c r="G234" s="2"/>
    </row>
    <row r="235" spans="1:26" customHeight="1" ht="35" hidden="true" outlineLevel="4">
      <c r="A235" s="5" t="s">
        <v>437</v>
      </c>
      <c r="B235" s="5"/>
      <c r="C235" s="5"/>
      <c r="D235" s="5"/>
      <c r="E235" s="5"/>
      <c r="F235" s="5"/>
      <c r="G235" s="5"/>
    </row>
    <row r="236" spans="1:26" customHeight="1" ht="36" hidden="true" outlineLevel="4">
      <c r="A236" s="2" t="s">
        <v>438</v>
      </c>
      <c r="B236" s="3" t="s">
        <v>439</v>
      </c>
      <c r="C236" s="2"/>
      <c r="D236" s="2" t="s">
        <v>16</v>
      </c>
      <c r="E236" s="4">
        <f>2049.30*(1-Z1%)</f>
        <v>2049.3</v>
      </c>
      <c r="F236" s="2">
        <v>1</v>
      </c>
      <c r="G236" s="2"/>
    </row>
    <row r="237" spans="1:26" customHeight="1" ht="18" hidden="true" outlineLevel="4">
      <c r="A237" s="2" t="s">
        <v>440</v>
      </c>
      <c r="B237" s="3" t="s">
        <v>441</v>
      </c>
      <c r="C237" s="2"/>
      <c r="D237" s="2" t="s">
        <v>16</v>
      </c>
      <c r="E237" s="4">
        <f>1128.60*(1-Z1%)</f>
        <v>1128.6</v>
      </c>
      <c r="F237" s="2">
        <v>1</v>
      </c>
      <c r="G237" s="2"/>
    </row>
    <row r="238" spans="1:26" customHeight="1" ht="35" hidden="true" outlineLevel="4">
      <c r="A238" s="5" t="s">
        <v>442</v>
      </c>
      <c r="B238" s="5"/>
      <c r="C238" s="5"/>
      <c r="D238" s="5"/>
      <c r="E238" s="5"/>
      <c r="F238" s="5"/>
      <c r="G238" s="5"/>
    </row>
    <row r="239" spans="1:26" customHeight="1" ht="18" hidden="true" outlineLevel="4">
      <c r="A239" s="2" t="s">
        <v>443</v>
      </c>
      <c r="B239" s="3" t="s">
        <v>444</v>
      </c>
      <c r="C239" s="2"/>
      <c r="D239" s="2" t="s">
        <v>16</v>
      </c>
      <c r="E239" s="4">
        <f>6.19*(1-Z1%)</f>
        <v>6.19</v>
      </c>
      <c r="F239" s="2">
        <v>30</v>
      </c>
      <c r="G239" s="2"/>
    </row>
    <row r="240" spans="1:26" customHeight="1" ht="18" hidden="true" outlineLevel="4">
      <c r="A240" s="2" t="s">
        <v>445</v>
      </c>
      <c r="B240" s="3" t="s">
        <v>446</v>
      </c>
      <c r="C240" s="2"/>
      <c r="D240" s="2" t="s">
        <v>16</v>
      </c>
      <c r="E240" s="4">
        <f>6.19*(1-Z1%)</f>
        <v>6.19</v>
      </c>
      <c r="F240" s="2">
        <v>30</v>
      </c>
      <c r="G240" s="2"/>
    </row>
    <row r="241" spans="1:26" customHeight="1" ht="36" hidden="true" outlineLevel="4">
      <c r="A241" s="2" t="s">
        <v>447</v>
      </c>
      <c r="B241" s="3" t="s">
        <v>448</v>
      </c>
      <c r="C241" s="2"/>
      <c r="D241" s="2" t="s">
        <v>16</v>
      </c>
      <c r="E241" s="4">
        <f>7.43*(1-Z1%)</f>
        <v>7.43</v>
      </c>
      <c r="F241" s="2">
        <v>40</v>
      </c>
      <c r="G241" s="2"/>
    </row>
    <row r="242" spans="1:26" customHeight="1" ht="18" hidden="true" outlineLevel="4">
      <c r="A242" s="2" t="s">
        <v>449</v>
      </c>
      <c r="B242" s="3" t="s">
        <v>450</v>
      </c>
      <c r="C242" s="2"/>
      <c r="D242" s="2" t="s">
        <v>16</v>
      </c>
      <c r="E242" s="4">
        <f>148.50*(1-Z1%)</f>
        <v>148.5</v>
      </c>
      <c r="F242" s="2">
        <v>10</v>
      </c>
      <c r="G242" s="2"/>
    </row>
    <row r="243" spans="1:26" customHeight="1" ht="35" hidden="true" outlineLevel="4">
      <c r="A243" s="5" t="s">
        <v>451</v>
      </c>
      <c r="B243" s="5"/>
      <c r="C243" s="5"/>
      <c r="D243" s="5"/>
      <c r="E243" s="5"/>
      <c r="F243" s="5"/>
      <c r="G243" s="5"/>
    </row>
    <row r="244" spans="1:26" customHeight="1" ht="18" hidden="true" outlineLevel="4">
      <c r="A244" s="2" t="s">
        <v>452</v>
      </c>
      <c r="B244" s="3" t="s">
        <v>453</v>
      </c>
      <c r="C244" s="2"/>
      <c r="D244" s="2" t="s">
        <v>16</v>
      </c>
      <c r="E244" s="4">
        <f>558.42*(1-Z1%)</f>
        <v>558.42</v>
      </c>
      <c r="F244" s="2">
        <v>3</v>
      </c>
      <c r="G244" s="2"/>
    </row>
    <row r="245" spans="1:26" customHeight="1" ht="18" hidden="true" outlineLevel="4">
      <c r="A245" s="2" t="s">
        <v>454</v>
      </c>
      <c r="B245" s="3" t="s">
        <v>455</v>
      </c>
      <c r="C245" s="2"/>
      <c r="D245" s="2" t="s">
        <v>16</v>
      </c>
      <c r="E245" s="4">
        <f>517.90*(1-Z1%)</f>
        <v>517.9</v>
      </c>
      <c r="F245" s="2">
        <v>2</v>
      </c>
      <c r="G245" s="2"/>
    </row>
    <row r="246" spans="1:26" customHeight="1" ht="18" hidden="true" outlineLevel="4">
      <c r="A246" s="2" t="s">
        <v>456</v>
      </c>
      <c r="B246" s="3" t="s">
        <v>457</v>
      </c>
      <c r="C246" s="2"/>
      <c r="D246" s="2" t="s">
        <v>16</v>
      </c>
      <c r="E246" s="4">
        <f>323.30*(1-Z1%)</f>
        <v>323.3</v>
      </c>
      <c r="F246" s="2">
        <v>2</v>
      </c>
      <c r="G246" s="2"/>
    </row>
    <row r="247" spans="1:26" customHeight="1" ht="18" hidden="true" outlineLevel="4">
      <c r="A247" s="2" t="s">
        <v>458</v>
      </c>
      <c r="B247" s="3" t="s">
        <v>459</v>
      </c>
      <c r="C247" s="2"/>
      <c r="D247" s="2" t="s">
        <v>16</v>
      </c>
      <c r="E247" s="4">
        <f>699.50*(1-Z1%)</f>
        <v>699.5</v>
      </c>
      <c r="F247" s="2">
        <v>3</v>
      </c>
      <c r="G247" s="2"/>
    </row>
    <row r="248" spans="1:26" customHeight="1" ht="18" hidden="true" outlineLevel="4">
      <c r="A248" s="2" t="s">
        <v>460</v>
      </c>
      <c r="B248" s="3" t="s">
        <v>461</v>
      </c>
      <c r="C248" s="2"/>
      <c r="D248" s="2" t="s">
        <v>16</v>
      </c>
      <c r="E248" s="4">
        <f>487.83*(1-Z1%)</f>
        <v>487.83</v>
      </c>
      <c r="F248" s="2">
        <v>2</v>
      </c>
      <c r="G248" s="2"/>
    </row>
    <row r="249" spans="1:26" customHeight="1" ht="18" hidden="true" outlineLevel="4">
      <c r="A249" s="2" t="s">
        <v>462</v>
      </c>
      <c r="B249" s="3" t="s">
        <v>463</v>
      </c>
      <c r="C249" s="2"/>
      <c r="D249" s="2" t="s">
        <v>16</v>
      </c>
      <c r="E249" s="4">
        <f>965.14*(1-Z1%)</f>
        <v>965.14</v>
      </c>
      <c r="F249" s="2">
        <v>2</v>
      </c>
      <c r="G249" s="2"/>
    </row>
    <row r="250" spans="1:26" customHeight="1" ht="18" hidden="true" outlineLevel="4">
      <c r="A250" s="2" t="s">
        <v>464</v>
      </c>
      <c r="B250" s="3" t="s">
        <v>465</v>
      </c>
      <c r="C250" s="2"/>
      <c r="D250" s="2" t="s">
        <v>16</v>
      </c>
      <c r="E250" s="4">
        <f>610.44*(1-Z1%)</f>
        <v>610.44</v>
      </c>
      <c r="F250" s="2">
        <v>1</v>
      </c>
      <c r="G250" s="2"/>
    </row>
    <row r="251" spans="1:26" customHeight="1" ht="36" hidden="true" outlineLevel="4">
      <c r="A251" s="2" t="s">
        <v>466</v>
      </c>
      <c r="B251" s="3" t="s">
        <v>467</v>
      </c>
      <c r="C251" s="2"/>
      <c r="D251" s="2" t="s">
        <v>16</v>
      </c>
      <c r="E251" s="4">
        <f>219.86*(1-Z1%)</f>
        <v>219.86</v>
      </c>
      <c r="F251" s="2">
        <v>2</v>
      </c>
      <c r="G251" s="2"/>
    </row>
    <row r="252" spans="1:26" customHeight="1" ht="35" hidden="true" outlineLevel="4">
      <c r="A252" s="5" t="s">
        <v>468</v>
      </c>
      <c r="B252" s="5"/>
      <c r="C252" s="5"/>
      <c r="D252" s="5"/>
      <c r="E252" s="5"/>
      <c r="F252" s="5"/>
      <c r="G252" s="5"/>
    </row>
    <row r="253" spans="1:26" customHeight="1" ht="18" hidden="true" outlineLevel="4">
      <c r="A253" s="2" t="s">
        <v>469</v>
      </c>
      <c r="B253" s="3" t="s">
        <v>470</v>
      </c>
      <c r="C253" s="2"/>
      <c r="D253" s="2" t="s">
        <v>16</v>
      </c>
      <c r="E253" s="4">
        <f>805.30*(1-Z1%)</f>
        <v>805.3</v>
      </c>
      <c r="F253" s="2">
        <v>7</v>
      </c>
      <c r="G253" s="2"/>
    </row>
    <row r="254" spans="1:26" customHeight="1" ht="36" hidden="true" outlineLevel="4">
      <c r="A254" s="2" t="s">
        <v>471</v>
      </c>
      <c r="B254" s="3" t="s">
        <v>472</v>
      </c>
      <c r="C254" s="2"/>
      <c r="D254" s="2" t="s">
        <v>16</v>
      </c>
      <c r="E254" s="4">
        <f>805.30*(1-Z1%)</f>
        <v>805.3</v>
      </c>
      <c r="F254" s="2">
        <v>1</v>
      </c>
      <c r="G254" s="2"/>
    </row>
    <row r="255" spans="1:26" customHeight="1" ht="35" hidden="true" outlineLevel="4">
      <c r="A255" s="5" t="s">
        <v>473</v>
      </c>
      <c r="B255" s="5"/>
      <c r="C255" s="5"/>
      <c r="D255" s="5"/>
      <c r="E255" s="5"/>
      <c r="F255" s="5"/>
      <c r="G255" s="5"/>
    </row>
    <row r="256" spans="1:26" customHeight="1" ht="36" hidden="true" outlineLevel="4">
      <c r="A256" s="2" t="s">
        <v>474</v>
      </c>
      <c r="B256" s="3" t="s">
        <v>475</v>
      </c>
      <c r="C256" s="2"/>
      <c r="D256" s="2" t="s">
        <v>16</v>
      </c>
      <c r="E256" s="4">
        <f>148.50*(1-Z1%)</f>
        <v>148.5</v>
      </c>
      <c r="F256" s="2">
        <v>2</v>
      </c>
      <c r="G256" s="2"/>
    </row>
    <row r="257" spans="1:26" customHeight="1" ht="36" hidden="true" outlineLevel="4">
      <c r="A257" s="2" t="s">
        <v>476</v>
      </c>
      <c r="B257" s="3" t="s">
        <v>477</v>
      </c>
      <c r="C257" s="2"/>
      <c r="D257" s="2" t="s">
        <v>16</v>
      </c>
      <c r="E257" s="4">
        <f>148.50*(1-Z1%)</f>
        <v>148.5</v>
      </c>
      <c r="F257" s="2">
        <v>5</v>
      </c>
      <c r="G257" s="2"/>
    </row>
    <row r="258" spans="1:26" customHeight="1" ht="18" hidden="true" outlineLevel="4">
      <c r="A258" s="2" t="s">
        <v>478</v>
      </c>
      <c r="B258" s="3" t="s">
        <v>479</v>
      </c>
      <c r="C258" s="2"/>
      <c r="D258" s="2" t="s">
        <v>16</v>
      </c>
      <c r="E258" s="4">
        <f>136.13*(1-Z1%)</f>
        <v>136.13</v>
      </c>
      <c r="F258" s="2">
        <v>5</v>
      </c>
      <c r="G258" s="2"/>
    </row>
    <row r="259" spans="1:26" customHeight="1" ht="18" hidden="true" outlineLevel="4">
      <c r="A259" s="2" t="s">
        <v>480</v>
      </c>
      <c r="B259" s="3" t="s">
        <v>479</v>
      </c>
      <c r="C259" s="2"/>
      <c r="D259" s="2" t="s">
        <v>16</v>
      </c>
      <c r="E259" s="4">
        <f>148.50*(1-Z1%)</f>
        <v>148.5</v>
      </c>
      <c r="F259" s="2">
        <v>7</v>
      </c>
      <c r="G259" s="2"/>
    </row>
    <row r="260" spans="1:26" customHeight="1" ht="35" hidden="true" outlineLevel="4">
      <c r="A260" s="5" t="s">
        <v>481</v>
      </c>
      <c r="B260" s="5"/>
      <c r="C260" s="5"/>
      <c r="D260" s="5"/>
      <c r="E260" s="5"/>
      <c r="F260" s="5"/>
      <c r="G260" s="5"/>
    </row>
    <row r="261" spans="1:26" customHeight="1" ht="36" hidden="true" outlineLevel="4">
      <c r="A261" s="2" t="s">
        <v>482</v>
      </c>
      <c r="B261" s="3" t="s">
        <v>483</v>
      </c>
      <c r="C261" s="2"/>
      <c r="D261" s="2" t="s">
        <v>16</v>
      </c>
      <c r="E261" s="4">
        <f>87.24*(1-Z1%)</f>
        <v>87.24</v>
      </c>
      <c r="F261" s="2">
        <v>1</v>
      </c>
      <c r="G261" s="2"/>
    </row>
    <row r="262" spans="1:26" customHeight="1" ht="18" hidden="true" outlineLevel="4">
      <c r="A262" s="2" t="s">
        <v>484</v>
      </c>
      <c r="B262" s="3" t="s">
        <v>485</v>
      </c>
      <c r="C262" s="2"/>
      <c r="D262" s="2" t="s">
        <v>16</v>
      </c>
      <c r="E262" s="4">
        <f>130.85*(1-Z1%)</f>
        <v>130.85</v>
      </c>
      <c r="F262" s="2">
        <v>2</v>
      </c>
      <c r="G262" s="2"/>
    </row>
    <row r="263" spans="1:26" customHeight="1" ht="36" hidden="true" outlineLevel="4">
      <c r="A263" s="2" t="s">
        <v>486</v>
      </c>
      <c r="B263" s="3" t="s">
        <v>487</v>
      </c>
      <c r="C263" s="2"/>
      <c r="D263" s="2" t="s">
        <v>16</v>
      </c>
      <c r="E263" s="4">
        <f>130.85*(1-Z1%)</f>
        <v>130.85</v>
      </c>
      <c r="F263" s="2">
        <v>5</v>
      </c>
      <c r="G263" s="2"/>
    </row>
    <row r="264" spans="1:26" customHeight="1" ht="35" hidden="true" outlineLevel="3">
      <c r="A264" s="5" t="s">
        <v>488</v>
      </c>
      <c r="B264" s="5"/>
      <c r="C264" s="5"/>
      <c r="D264" s="5"/>
      <c r="E264" s="5"/>
      <c r="F264" s="5"/>
      <c r="G264" s="5"/>
    </row>
    <row r="265" spans="1:26" customHeight="1" ht="36" hidden="true" outlineLevel="3">
      <c r="A265" s="2" t="s">
        <v>489</v>
      </c>
      <c r="B265" s="3" t="s">
        <v>490</v>
      </c>
      <c r="C265" s="2"/>
      <c r="D265" s="2" t="s">
        <v>16</v>
      </c>
      <c r="E265" s="4">
        <f>1032.42*(1-Z1%)</f>
        <v>1032.42</v>
      </c>
      <c r="F265" s="2">
        <v>3</v>
      </c>
      <c r="G265" s="2"/>
    </row>
    <row r="266" spans="1:26" customHeight="1" ht="36" hidden="true" outlineLevel="3">
      <c r="A266" s="2" t="s">
        <v>491</v>
      </c>
      <c r="B266" s="3" t="s">
        <v>492</v>
      </c>
      <c r="C266" s="2"/>
      <c r="D266" s="2" t="s">
        <v>16</v>
      </c>
      <c r="E266" s="4">
        <f>1805.29*(1-Z1%)</f>
        <v>1805.29</v>
      </c>
      <c r="F266" s="2">
        <v>1</v>
      </c>
      <c r="G266" s="2"/>
    </row>
    <row r="267" spans="1:26" customHeight="1" ht="54" hidden="true" outlineLevel="3">
      <c r="A267" s="2" t="s">
        <v>493</v>
      </c>
      <c r="B267" s="3" t="s">
        <v>494</v>
      </c>
      <c r="C267" s="2"/>
      <c r="D267" s="2" t="s">
        <v>16</v>
      </c>
      <c r="E267" s="4">
        <f>3232.92*(1-Z1%)</f>
        <v>3232.92</v>
      </c>
      <c r="F267" s="2">
        <v>1</v>
      </c>
      <c r="G267" s="2"/>
    </row>
    <row r="268" spans="1:26" customHeight="1" ht="36" hidden="true" outlineLevel="3">
      <c r="A268" s="2" t="s">
        <v>495</v>
      </c>
      <c r="B268" s="3" t="s">
        <v>496</v>
      </c>
      <c r="C268" s="2"/>
      <c r="D268" s="2" t="s">
        <v>16</v>
      </c>
      <c r="E268" s="4">
        <f>1787.63*(1-Z1%)</f>
        <v>1787.63</v>
      </c>
      <c r="F268" s="2">
        <v>1</v>
      </c>
      <c r="G268" s="2"/>
    </row>
    <row r="269" spans="1:26" customHeight="1" ht="36" hidden="true" outlineLevel="3">
      <c r="A269" s="2" t="s">
        <v>497</v>
      </c>
      <c r="B269" s="3" t="s">
        <v>498</v>
      </c>
      <c r="C269" s="2"/>
      <c r="D269" s="2" t="s">
        <v>16</v>
      </c>
      <c r="E269" s="4">
        <f>3967.88*(1-Z1%)</f>
        <v>3967.88</v>
      </c>
      <c r="F269" s="2">
        <v>1</v>
      </c>
      <c r="G269" s="2"/>
    </row>
    <row r="270" spans="1:26" customHeight="1" ht="36" hidden="true" outlineLevel="3">
      <c r="A270" s="2" t="s">
        <v>499</v>
      </c>
      <c r="B270" s="3" t="s">
        <v>500</v>
      </c>
      <c r="C270" s="2"/>
      <c r="D270" s="2" t="s">
        <v>16</v>
      </c>
      <c r="E270" s="4">
        <f>2936.25*(1-Z1%)</f>
        <v>2936.25</v>
      </c>
      <c r="F270" s="2">
        <v>1</v>
      </c>
      <c r="G270" s="2"/>
    </row>
    <row r="271" spans="1:26" customHeight="1" ht="36" hidden="true" outlineLevel="3">
      <c r="A271" s="2" t="s">
        <v>501</v>
      </c>
      <c r="B271" s="3" t="s">
        <v>502</v>
      </c>
      <c r="C271" s="2"/>
      <c r="D271" s="2" t="s">
        <v>16</v>
      </c>
      <c r="E271" s="4">
        <f>1252.35*(1-Z1%)</f>
        <v>1252.35</v>
      </c>
      <c r="F271" s="2">
        <v>1</v>
      </c>
      <c r="G271" s="2"/>
    </row>
    <row r="272" spans="1:26" customHeight="1" ht="18" hidden="true" outlineLevel="3">
      <c r="A272" s="2" t="s">
        <v>503</v>
      </c>
      <c r="B272" s="3" t="s">
        <v>504</v>
      </c>
      <c r="C272" s="2"/>
      <c r="D272" s="2" t="s">
        <v>16</v>
      </c>
      <c r="E272" s="4">
        <f>2014.01*(1-Z1%)</f>
        <v>2014.01</v>
      </c>
      <c r="F272" s="2">
        <v>2</v>
      </c>
      <c r="G272" s="2"/>
    </row>
    <row r="273" spans="1:26" customHeight="1" ht="18" hidden="true" outlineLevel="3">
      <c r="A273" s="2" t="s">
        <v>505</v>
      </c>
      <c r="B273" s="3" t="s">
        <v>506</v>
      </c>
      <c r="C273" s="2"/>
      <c r="D273" s="2" t="s">
        <v>16</v>
      </c>
      <c r="E273" s="4">
        <f>1374.15*(1-Z1%)</f>
        <v>1374.15</v>
      </c>
      <c r="F273" s="2">
        <v>2</v>
      </c>
      <c r="G273" s="2"/>
    </row>
    <row r="274" spans="1:26" customHeight="1" ht="36" hidden="true" outlineLevel="3">
      <c r="A274" s="2" t="s">
        <v>507</v>
      </c>
      <c r="B274" s="3" t="s">
        <v>508</v>
      </c>
      <c r="C274" s="2"/>
      <c r="D274" s="2" t="s">
        <v>16</v>
      </c>
      <c r="E274" s="4">
        <f>1112.63*(1-Z1%)</f>
        <v>1112.63</v>
      </c>
      <c r="F274" s="2">
        <v>1</v>
      </c>
      <c r="G274" s="2"/>
    </row>
    <row r="275" spans="1:26" customHeight="1" ht="36" hidden="true" outlineLevel="3">
      <c r="A275" s="2" t="s">
        <v>509</v>
      </c>
      <c r="B275" s="3" t="s">
        <v>510</v>
      </c>
      <c r="C275" s="2"/>
      <c r="D275" s="2" t="s">
        <v>16</v>
      </c>
      <c r="E275" s="4">
        <f>636.75*(1-Z1%)</f>
        <v>636.75</v>
      </c>
      <c r="F275" s="2">
        <v>1</v>
      </c>
      <c r="G275" s="2"/>
    </row>
    <row r="276" spans="1:26" customHeight="1" ht="36" hidden="true" outlineLevel="3">
      <c r="A276" s="2" t="s">
        <v>511</v>
      </c>
      <c r="B276" s="3" t="s">
        <v>512</v>
      </c>
      <c r="C276" s="2"/>
      <c r="D276" s="2" t="s">
        <v>16</v>
      </c>
      <c r="E276" s="4">
        <f>337.67*(1-Z1%)</f>
        <v>337.67</v>
      </c>
      <c r="F276" s="2">
        <v>4</v>
      </c>
      <c r="G276" s="2"/>
    </row>
    <row r="277" spans="1:26" customHeight="1" ht="36" hidden="true" outlineLevel="3">
      <c r="A277" s="2" t="s">
        <v>513</v>
      </c>
      <c r="B277" s="3" t="s">
        <v>514</v>
      </c>
      <c r="C277" s="2"/>
      <c r="D277" s="2" t="s">
        <v>16</v>
      </c>
      <c r="E277" s="4">
        <f>628.76*(1-Z1%)</f>
        <v>628.76</v>
      </c>
      <c r="F277" s="2">
        <v>5</v>
      </c>
      <c r="G277" s="2"/>
    </row>
    <row r="278" spans="1:26" customHeight="1" ht="35" hidden="true" outlineLevel="3">
      <c r="A278" s="5" t="s">
        <v>515</v>
      </c>
      <c r="B278" s="5"/>
      <c r="C278" s="5"/>
      <c r="D278" s="5"/>
      <c r="E278" s="5"/>
      <c r="F278" s="5"/>
      <c r="G278" s="5"/>
    </row>
    <row r="279" spans="1:26" customHeight="1" ht="35" hidden="true" outlineLevel="4">
      <c r="A279" s="5" t="s">
        <v>516</v>
      </c>
      <c r="B279" s="5"/>
      <c r="C279" s="5"/>
      <c r="D279" s="5"/>
      <c r="E279" s="5"/>
      <c r="F279" s="5"/>
      <c r="G279" s="5"/>
    </row>
    <row r="280" spans="1:26" customHeight="1" ht="18" hidden="true" outlineLevel="4">
      <c r="A280" s="2" t="s">
        <v>517</v>
      </c>
      <c r="B280" s="3" t="s">
        <v>518</v>
      </c>
      <c r="C280" s="2"/>
      <c r="D280" s="2" t="s">
        <v>16</v>
      </c>
      <c r="E280" s="4">
        <f>717.14*(1-Z1%)</f>
        <v>717.14</v>
      </c>
      <c r="F280" s="2">
        <v>1</v>
      </c>
      <c r="G280" s="2"/>
    </row>
    <row r="281" spans="1:26" customHeight="1" ht="18" hidden="true" outlineLevel="4">
      <c r="A281" s="2" t="s">
        <v>519</v>
      </c>
      <c r="B281" s="3" t="s">
        <v>520</v>
      </c>
      <c r="C281" s="2"/>
      <c r="D281" s="2" t="s">
        <v>16</v>
      </c>
      <c r="E281" s="4">
        <f>600.74*(1-Z1%)</f>
        <v>600.74</v>
      </c>
      <c r="F281" s="2">
        <v>3</v>
      </c>
      <c r="G281" s="2"/>
    </row>
    <row r="282" spans="1:26" customHeight="1" ht="18" hidden="true" outlineLevel="4">
      <c r="A282" s="2" t="s">
        <v>521</v>
      </c>
      <c r="B282" s="3" t="s">
        <v>522</v>
      </c>
      <c r="C282" s="2"/>
      <c r="D282" s="2" t="s">
        <v>16</v>
      </c>
      <c r="E282" s="4">
        <f>1399.00*(1-Z1%)</f>
        <v>1399</v>
      </c>
      <c r="F282" s="2">
        <v>1</v>
      </c>
      <c r="G282" s="2"/>
    </row>
    <row r="283" spans="1:26" customHeight="1" ht="18" hidden="true" outlineLevel="4">
      <c r="A283" s="2" t="s">
        <v>523</v>
      </c>
      <c r="B283" s="3" t="s">
        <v>524</v>
      </c>
      <c r="C283" s="2"/>
      <c r="D283" s="2" t="s">
        <v>16</v>
      </c>
      <c r="E283" s="4">
        <f>675.98*(1-Z1%)</f>
        <v>675.98</v>
      </c>
      <c r="F283" s="2">
        <v>3</v>
      </c>
      <c r="G283" s="2"/>
    </row>
    <row r="284" spans="1:26" customHeight="1" ht="35" hidden="true" outlineLevel="4">
      <c r="A284" s="5" t="s">
        <v>525</v>
      </c>
      <c r="B284" s="5"/>
      <c r="C284" s="5"/>
      <c r="D284" s="5"/>
      <c r="E284" s="5"/>
      <c r="F284" s="5"/>
      <c r="G284" s="5"/>
    </row>
    <row r="285" spans="1:26" customHeight="1" ht="18" hidden="true" outlineLevel="4">
      <c r="A285" s="2" t="s">
        <v>526</v>
      </c>
      <c r="B285" s="3" t="s">
        <v>527</v>
      </c>
      <c r="C285" s="2"/>
      <c r="D285" s="2" t="s">
        <v>16</v>
      </c>
      <c r="E285" s="4">
        <f>70.32*(1-Z1%)</f>
        <v>70.32</v>
      </c>
      <c r="F285" s="2">
        <v>4</v>
      </c>
      <c r="G285" s="2"/>
    </row>
    <row r="286" spans="1:26" customHeight="1" ht="18" hidden="true" outlineLevel="4">
      <c r="A286" s="2" t="s">
        <v>528</v>
      </c>
      <c r="B286" s="3" t="s">
        <v>529</v>
      </c>
      <c r="C286" s="2"/>
      <c r="D286" s="2" t="s">
        <v>16</v>
      </c>
      <c r="E286" s="4">
        <f>70.32*(1-Z1%)</f>
        <v>70.32</v>
      </c>
      <c r="F286" s="2">
        <v>1</v>
      </c>
      <c r="G286" s="2"/>
    </row>
    <row r="287" spans="1:26" customHeight="1" ht="18" hidden="true" outlineLevel="4">
      <c r="A287" s="2" t="s">
        <v>530</v>
      </c>
      <c r="B287" s="3" t="s">
        <v>531</v>
      </c>
      <c r="C287" s="2"/>
      <c r="D287" s="2" t="s">
        <v>16</v>
      </c>
      <c r="E287" s="4">
        <f>110.25*(1-Z1%)</f>
        <v>110.25</v>
      </c>
      <c r="F287" s="2">
        <v>1</v>
      </c>
      <c r="G287" s="2"/>
    </row>
    <row r="288" spans="1:26" customHeight="1" ht="36" hidden="true" outlineLevel="4">
      <c r="A288" s="2" t="s">
        <v>532</v>
      </c>
      <c r="B288" s="3" t="s">
        <v>533</v>
      </c>
      <c r="C288" s="2"/>
      <c r="D288" s="2" t="s">
        <v>16</v>
      </c>
      <c r="E288" s="4">
        <f>136.13*(1-Z1%)</f>
        <v>136.13</v>
      </c>
      <c r="F288" s="2">
        <v>3</v>
      </c>
      <c r="G288" s="2"/>
    </row>
    <row r="289" spans="1:26" customHeight="1" ht="35" hidden="true" outlineLevel="3">
      <c r="A289" s="5" t="s">
        <v>534</v>
      </c>
      <c r="B289" s="5"/>
      <c r="C289" s="5"/>
      <c r="D289" s="5"/>
      <c r="E289" s="5"/>
      <c r="F289" s="5"/>
      <c r="G289" s="5"/>
    </row>
    <row r="290" spans="1:26" customHeight="1" ht="36" hidden="true" outlineLevel="3">
      <c r="A290" s="2" t="s">
        <v>535</v>
      </c>
      <c r="B290" s="3" t="s">
        <v>536</v>
      </c>
      <c r="C290" s="2"/>
      <c r="D290" s="2" t="s">
        <v>16</v>
      </c>
      <c r="E290" s="4">
        <f>534.81*(1-Z1%)</f>
        <v>534.81</v>
      </c>
      <c r="F290" s="2">
        <v>2</v>
      </c>
      <c r="G290" s="2"/>
    </row>
    <row r="291" spans="1:26" customHeight="1" ht="36" hidden="true" outlineLevel="3">
      <c r="A291" s="2" t="s">
        <v>537</v>
      </c>
      <c r="B291" s="3" t="s">
        <v>538</v>
      </c>
      <c r="C291" s="2"/>
      <c r="D291" s="2" t="s">
        <v>16</v>
      </c>
      <c r="E291" s="4">
        <f>146.21*(1-Z1%)</f>
        <v>146.21</v>
      </c>
      <c r="F291" s="2">
        <v>14</v>
      </c>
      <c r="G291" s="2"/>
    </row>
    <row r="292" spans="1:26" customHeight="1" ht="36" hidden="true" outlineLevel="3">
      <c r="A292" s="2" t="s">
        <v>539</v>
      </c>
      <c r="B292" s="3" t="s">
        <v>540</v>
      </c>
      <c r="C292" s="2"/>
      <c r="D292" s="2" t="s">
        <v>16</v>
      </c>
      <c r="E292" s="4">
        <f>224.87*(1-Z1%)</f>
        <v>224.87</v>
      </c>
      <c r="F292" s="2">
        <v>8</v>
      </c>
      <c r="G292" s="2"/>
    </row>
    <row r="293" spans="1:26" customHeight="1" ht="36" hidden="true" outlineLevel="3">
      <c r="A293" s="2" t="s">
        <v>541</v>
      </c>
      <c r="B293" s="3" t="s">
        <v>542</v>
      </c>
      <c r="C293" s="2"/>
      <c r="D293" s="2" t="s">
        <v>16</v>
      </c>
      <c r="E293" s="4">
        <f>189.81*(1-Z1%)</f>
        <v>189.81</v>
      </c>
      <c r="F293" s="2">
        <v>5</v>
      </c>
      <c r="G293" s="2"/>
    </row>
    <row r="294" spans="1:26" customHeight="1" ht="36" hidden="true" outlineLevel="3">
      <c r="A294" s="2" t="s">
        <v>543</v>
      </c>
      <c r="B294" s="3" t="s">
        <v>544</v>
      </c>
      <c r="C294" s="2"/>
      <c r="D294" s="2" t="s">
        <v>16</v>
      </c>
      <c r="E294" s="4">
        <f>364.01*(1-Z1%)</f>
        <v>364.01</v>
      </c>
      <c r="F294" s="2">
        <v>3</v>
      </c>
      <c r="G294" s="2"/>
    </row>
    <row r="295" spans="1:26" customHeight="1" ht="36" hidden="true" outlineLevel="3">
      <c r="A295" s="2" t="s">
        <v>545</v>
      </c>
      <c r="B295" s="3" t="s">
        <v>544</v>
      </c>
      <c r="C295" s="2"/>
      <c r="D295" s="2" t="s">
        <v>16</v>
      </c>
      <c r="E295" s="4">
        <f>287.89*(1-Z1%)</f>
        <v>287.89</v>
      </c>
      <c r="F295" s="2">
        <v>3</v>
      </c>
      <c r="G295" s="2"/>
    </row>
    <row r="296" spans="1:26" customHeight="1" ht="35" hidden="true" outlineLevel="3">
      <c r="A296" s="5" t="s">
        <v>546</v>
      </c>
      <c r="B296" s="5"/>
      <c r="C296" s="5"/>
      <c r="D296" s="5"/>
      <c r="E296" s="5"/>
      <c r="F296" s="5"/>
      <c r="G296" s="5"/>
    </row>
    <row r="297" spans="1:26" customHeight="1" ht="35" hidden="true" outlineLevel="4">
      <c r="A297" s="5" t="s">
        <v>547</v>
      </c>
      <c r="B297" s="5"/>
      <c r="C297" s="5"/>
      <c r="D297" s="5"/>
      <c r="E297" s="5"/>
      <c r="F297" s="5"/>
      <c r="G297" s="5"/>
    </row>
    <row r="298" spans="1:26" customHeight="1" ht="36" hidden="true" outlineLevel="4">
      <c r="A298" s="2" t="s">
        <v>548</v>
      </c>
      <c r="B298" s="3" t="s">
        <v>549</v>
      </c>
      <c r="C298" s="2"/>
      <c r="D298" s="2" t="s">
        <v>16</v>
      </c>
      <c r="E298" s="4">
        <f>1829.59*(1-Z1%)</f>
        <v>1829.59</v>
      </c>
      <c r="F298" s="2">
        <v>1</v>
      </c>
      <c r="G298" s="2"/>
    </row>
    <row r="299" spans="1:26" customHeight="1" ht="36" hidden="true" outlineLevel="4">
      <c r="A299" s="2" t="s">
        <v>550</v>
      </c>
      <c r="B299" s="3" t="s">
        <v>551</v>
      </c>
      <c r="C299" s="2"/>
      <c r="D299" s="2" t="s">
        <v>16</v>
      </c>
      <c r="E299" s="4">
        <f>1794.15*(1-Z1%)</f>
        <v>1794.15</v>
      </c>
      <c r="F299" s="2">
        <v>2</v>
      </c>
      <c r="G299" s="2"/>
    </row>
    <row r="300" spans="1:26" customHeight="1" ht="36" hidden="true" outlineLevel="4">
      <c r="A300" s="2" t="s">
        <v>552</v>
      </c>
      <c r="B300" s="3" t="s">
        <v>553</v>
      </c>
      <c r="C300" s="2"/>
      <c r="D300" s="2" t="s">
        <v>16</v>
      </c>
      <c r="E300" s="4">
        <f>2578.84*(1-Z1%)</f>
        <v>2578.84</v>
      </c>
      <c r="F300" s="2">
        <v>1</v>
      </c>
      <c r="G300" s="2"/>
    </row>
    <row r="301" spans="1:26" customHeight="1" ht="36" hidden="true" outlineLevel="4">
      <c r="A301" s="2" t="s">
        <v>554</v>
      </c>
      <c r="B301" s="3" t="s">
        <v>555</v>
      </c>
      <c r="C301" s="2"/>
      <c r="D301" s="2" t="s">
        <v>16</v>
      </c>
      <c r="E301" s="4">
        <f>4481.33*(1-Z1%)</f>
        <v>4481.33</v>
      </c>
      <c r="F301" s="2">
        <v>1</v>
      </c>
      <c r="G301" s="2"/>
    </row>
    <row r="302" spans="1:26" customHeight="1" ht="35" hidden="true" outlineLevel="4">
      <c r="A302" s="5" t="s">
        <v>556</v>
      </c>
      <c r="B302" s="5"/>
      <c r="C302" s="5"/>
      <c r="D302" s="5"/>
      <c r="E302" s="5"/>
      <c r="F302" s="5"/>
      <c r="G302" s="5"/>
    </row>
    <row r="303" spans="1:26" customHeight="1" ht="18" hidden="true" outlineLevel="4">
      <c r="A303" s="2" t="s">
        <v>557</v>
      </c>
      <c r="B303" s="3" t="s">
        <v>558</v>
      </c>
      <c r="C303" s="2"/>
      <c r="D303" s="2" t="s">
        <v>16</v>
      </c>
      <c r="E303" s="4">
        <f>381.15*(1-Z1%)</f>
        <v>381.15</v>
      </c>
      <c r="F303" s="2">
        <v>1</v>
      </c>
      <c r="G303" s="2"/>
    </row>
    <row r="304" spans="1:26" customHeight="1" ht="18" hidden="true" outlineLevel="4">
      <c r="A304" s="2" t="s">
        <v>559</v>
      </c>
      <c r="B304" s="3" t="s">
        <v>560</v>
      </c>
      <c r="C304" s="2"/>
      <c r="D304" s="2" t="s">
        <v>16</v>
      </c>
      <c r="E304" s="4">
        <f>384.35*(1-Z1%)</f>
        <v>384.35</v>
      </c>
      <c r="F304" s="2">
        <v>5</v>
      </c>
      <c r="G304" s="2"/>
    </row>
    <row r="305" spans="1:26" customHeight="1" ht="18" hidden="true" outlineLevel="4">
      <c r="A305" s="2" t="s">
        <v>561</v>
      </c>
      <c r="B305" s="3" t="s">
        <v>562</v>
      </c>
      <c r="C305" s="2"/>
      <c r="D305" s="2" t="s">
        <v>16</v>
      </c>
      <c r="E305" s="4">
        <f>490.05*(1-Z1%)</f>
        <v>490.05</v>
      </c>
      <c r="F305" s="2">
        <v>3</v>
      </c>
      <c r="G305" s="2"/>
    </row>
    <row r="306" spans="1:26" customHeight="1" ht="18" hidden="true" outlineLevel="4">
      <c r="A306" s="2" t="s">
        <v>563</v>
      </c>
      <c r="B306" s="3" t="s">
        <v>564</v>
      </c>
      <c r="C306" s="2"/>
      <c r="D306" s="2" t="s">
        <v>16</v>
      </c>
      <c r="E306" s="4">
        <f>518.71*(1-Z1%)</f>
        <v>518.71</v>
      </c>
      <c r="F306" s="2">
        <v>1</v>
      </c>
      <c r="G306" s="2"/>
    </row>
    <row r="307" spans="1:26" customHeight="1" ht="18" hidden="true" outlineLevel="4">
      <c r="A307" s="2" t="s">
        <v>565</v>
      </c>
      <c r="B307" s="3" t="s">
        <v>566</v>
      </c>
      <c r="C307" s="2"/>
      <c r="D307" s="2" t="s">
        <v>16</v>
      </c>
      <c r="E307" s="4">
        <f>554.80*(1-Z1%)</f>
        <v>554.8</v>
      </c>
      <c r="F307" s="2">
        <v>2</v>
      </c>
      <c r="G307" s="2"/>
    </row>
    <row r="308" spans="1:26" customHeight="1" ht="35" hidden="true" outlineLevel="4">
      <c r="A308" s="5" t="s">
        <v>567</v>
      </c>
      <c r="B308" s="5"/>
      <c r="C308" s="5"/>
      <c r="D308" s="5"/>
      <c r="E308" s="5"/>
      <c r="F308" s="5"/>
      <c r="G308" s="5"/>
    </row>
    <row r="309" spans="1:26" customHeight="1" ht="36" hidden="true" outlineLevel="4">
      <c r="A309" s="2" t="s">
        <v>568</v>
      </c>
      <c r="B309" s="3" t="s">
        <v>569</v>
      </c>
      <c r="C309" s="2"/>
      <c r="D309" s="2" t="s">
        <v>16</v>
      </c>
      <c r="E309" s="4">
        <f>2485.78*(1-Z1%)</f>
        <v>2485.78</v>
      </c>
      <c r="F309" s="2">
        <v>2</v>
      </c>
      <c r="G309" s="2"/>
    </row>
    <row r="310" spans="1:26" customHeight="1" ht="36" hidden="true" outlineLevel="4">
      <c r="A310" s="2" t="s">
        <v>570</v>
      </c>
      <c r="B310" s="3" t="s">
        <v>571</v>
      </c>
      <c r="C310" s="2"/>
      <c r="D310" s="2" t="s">
        <v>16</v>
      </c>
      <c r="E310" s="4">
        <f>2485.78*(1-Z1%)</f>
        <v>2485.78</v>
      </c>
      <c r="F310" s="2">
        <v>2</v>
      </c>
      <c r="G310" s="2"/>
    </row>
    <row r="311" spans="1:26" customHeight="1" ht="36" hidden="true" outlineLevel="4">
      <c r="A311" s="2" t="s">
        <v>572</v>
      </c>
      <c r="B311" s="3" t="s">
        <v>573</v>
      </c>
      <c r="C311" s="2"/>
      <c r="D311" s="2" t="s">
        <v>16</v>
      </c>
      <c r="E311" s="4">
        <f>2485.78*(1-Z1%)</f>
        <v>2485.78</v>
      </c>
      <c r="F311" s="2">
        <v>1</v>
      </c>
      <c r="G311" s="2"/>
    </row>
    <row r="312" spans="1:26" customHeight="1" ht="35" hidden="true" outlineLevel="3">
      <c r="A312" s="5" t="s">
        <v>574</v>
      </c>
      <c r="B312" s="5"/>
      <c r="C312" s="5"/>
      <c r="D312" s="5"/>
      <c r="E312" s="5"/>
      <c r="F312" s="5"/>
      <c r="G312" s="5"/>
    </row>
    <row r="313" spans="1:26" customHeight="1" ht="36" hidden="true" outlineLevel="3">
      <c r="A313" s="2" t="s">
        <v>575</v>
      </c>
      <c r="B313" s="3" t="s">
        <v>576</v>
      </c>
      <c r="C313" s="2"/>
      <c r="D313" s="2" t="s">
        <v>16</v>
      </c>
      <c r="E313" s="4">
        <f>1370.89*(1-Z1%)</f>
        <v>1370.89</v>
      </c>
      <c r="F313" s="2">
        <v>2</v>
      </c>
      <c r="G313" s="2"/>
    </row>
    <row r="314" spans="1:26" customHeight="1" ht="18" hidden="true" outlineLevel="3">
      <c r="A314" s="2" t="s">
        <v>577</v>
      </c>
      <c r="B314" s="3" t="s">
        <v>578</v>
      </c>
      <c r="C314" s="2"/>
      <c r="D314" s="2" t="s">
        <v>16</v>
      </c>
      <c r="E314" s="4">
        <f>2056.96*(1-Z1%)</f>
        <v>2056.96</v>
      </c>
      <c r="F314" s="2">
        <v>3</v>
      </c>
      <c r="G314" s="2"/>
    </row>
    <row r="315" spans="1:26" customHeight="1" ht="35" hidden="true" outlineLevel="3">
      <c r="A315" s="5" t="s">
        <v>579</v>
      </c>
      <c r="B315" s="5"/>
      <c r="C315" s="5"/>
      <c r="D315" s="5"/>
      <c r="E315" s="5"/>
      <c r="F315" s="5"/>
      <c r="G315" s="5"/>
    </row>
    <row r="316" spans="1:26" customHeight="1" ht="35" hidden="true" outlineLevel="4">
      <c r="A316" s="5" t="s">
        <v>580</v>
      </c>
      <c r="B316" s="5"/>
      <c r="C316" s="5"/>
      <c r="D316" s="5"/>
      <c r="E316" s="5"/>
      <c r="F316" s="5"/>
      <c r="G316" s="5"/>
    </row>
    <row r="317" spans="1:26" customHeight="1" ht="18" hidden="true" outlineLevel="4">
      <c r="A317" s="2" t="s">
        <v>581</v>
      </c>
      <c r="B317" s="3" t="s">
        <v>582</v>
      </c>
      <c r="C317" s="2"/>
      <c r="D317" s="2" t="s">
        <v>16</v>
      </c>
      <c r="E317" s="4">
        <f>151.88*(1-Z1%)</f>
        <v>151.88</v>
      </c>
      <c r="F317" s="2">
        <v>3</v>
      </c>
      <c r="G317" s="2"/>
    </row>
    <row r="318" spans="1:26" customHeight="1" ht="18" hidden="true" outlineLevel="4">
      <c r="A318" s="2" t="s">
        <v>583</v>
      </c>
      <c r="B318" s="3" t="s">
        <v>584</v>
      </c>
      <c r="C318" s="2"/>
      <c r="D318" s="2" t="s">
        <v>16</v>
      </c>
      <c r="E318" s="4">
        <f>151.88*(1-Z1%)</f>
        <v>151.88</v>
      </c>
      <c r="F318" s="2">
        <v>3</v>
      </c>
      <c r="G318" s="2"/>
    </row>
    <row r="319" spans="1:26" customHeight="1" ht="18" hidden="true" outlineLevel="4">
      <c r="A319" s="2" t="s">
        <v>585</v>
      </c>
      <c r="B319" s="3" t="s">
        <v>586</v>
      </c>
      <c r="C319" s="2"/>
      <c r="D319" s="2" t="s">
        <v>16</v>
      </c>
      <c r="E319" s="4">
        <f>159.98*(1-Z1%)</f>
        <v>159.98</v>
      </c>
      <c r="F319" s="2">
        <v>2</v>
      </c>
      <c r="G319" s="2"/>
    </row>
    <row r="320" spans="1:26" customHeight="1" ht="18" hidden="true" outlineLevel="4">
      <c r="A320" s="2" t="s">
        <v>587</v>
      </c>
      <c r="B320" s="3" t="s">
        <v>588</v>
      </c>
      <c r="C320" s="2"/>
      <c r="D320" s="2" t="s">
        <v>16</v>
      </c>
      <c r="E320" s="4">
        <f>207.00*(1-Z1%)</f>
        <v>207</v>
      </c>
      <c r="F320" s="2">
        <v>3</v>
      </c>
      <c r="G320" s="2"/>
    </row>
    <row r="321" spans="1:26" customHeight="1" ht="18" hidden="true" outlineLevel="4">
      <c r="A321" s="2" t="s">
        <v>589</v>
      </c>
      <c r="B321" s="3" t="s">
        <v>590</v>
      </c>
      <c r="C321" s="2"/>
      <c r="D321" s="2" t="s">
        <v>16</v>
      </c>
      <c r="E321" s="4">
        <f>186.30*(1-Z1%)</f>
        <v>186.3</v>
      </c>
      <c r="F321" s="2">
        <v>3</v>
      </c>
      <c r="G321" s="2"/>
    </row>
    <row r="322" spans="1:26" customHeight="1" ht="18" hidden="true" outlineLevel="4">
      <c r="A322" s="2" t="s">
        <v>591</v>
      </c>
      <c r="B322" s="3" t="s">
        <v>592</v>
      </c>
      <c r="C322" s="2"/>
      <c r="D322" s="2" t="s">
        <v>16</v>
      </c>
      <c r="E322" s="4">
        <f>176.18*(1-Z1%)</f>
        <v>176.18</v>
      </c>
      <c r="F322" s="2">
        <v>3</v>
      </c>
      <c r="G322" s="2"/>
    </row>
    <row r="323" spans="1:26" customHeight="1" ht="18" hidden="true" outlineLevel="4">
      <c r="A323" s="2" t="s">
        <v>593</v>
      </c>
      <c r="B323" s="3" t="s">
        <v>594</v>
      </c>
      <c r="C323" s="2"/>
      <c r="D323" s="2" t="s">
        <v>16</v>
      </c>
      <c r="E323" s="4">
        <f>176.18*(1-Z1%)</f>
        <v>176.18</v>
      </c>
      <c r="F323" s="2">
        <v>3</v>
      </c>
      <c r="G323" s="2"/>
    </row>
    <row r="324" spans="1:26" customHeight="1" ht="18" hidden="true" outlineLevel="4">
      <c r="A324" s="2" t="s">
        <v>595</v>
      </c>
      <c r="B324" s="3" t="s">
        <v>596</v>
      </c>
      <c r="C324" s="2"/>
      <c r="D324" s="2" t="s">
        <v>16</v>
      </c>
      <c r="E324" s="4">
        <f>177.75*(1-Z1%)</f>
        <v>177.75</v>
      </c>
      <c r="F324" s="2">
        <v>3</v>
      </c>
      <c r="G324" s="2"/>
    </row>
    <row r="325" spans="1:26" customHeight="1" ht="35" hidden="true" outlineLevel="4">
      <c r="A325" s="5" t="s">
        <v>597</v>
      </c>
      <c r="B325" s="5"/>
      <c r="C325" s="5"/>
      <c r="D325" s="5"/>
      <c r="E325" s="5"/>
      <c r="F325" s="5"/>
      <c r="G325" s="5"/>
    </row>
    <row r="326" spans="1:26" customHeight="1" ht="36" hidden="true" outlineLevel="4">
      <c r="A326" s="2" t="s">
        <v>598</v>
      </c>
      <c r="B326" s="3" t="s">
        <v>599</v>
      </c>
      <c r="C326" s="2"/>
      <c r="D326" s="2" t="s">
        <v>16</v>
      </c>
      <c r="E326" s="4">
        <f>537.87*(1-Z1%)</f>
        <v>537.87</v>
      </c>
      <c r="F326" s="2">
        <v>2</v>
      </c>
      <c r="G326" s="2"/>
    </row>
    <row r="327" spans="1:26" customHeight="1" ht="36" hidden="true" outlineLevel="4">
      <c r="A327" s="2" t="s">
        <v>600</v>
      </c>
      <c r="B327" s="3" t="s">
        <v>599</v>
      </c>
      <c r="C327" s="2"/>
      <c r="D327" s="2" t="s">
        <v>16</v>
      </c>
      <c r="E327" s="4">
        <f>363.92*(1-Z1%)</f>
        <v>363.92</v>
      </c>
      <c r="F327" s="2">
        <v>8</v>
      </c>
      <c r="G327" s="2"/>
    </row>
    <row r="328" spans="1:26" customHeight="1" ht="36" hidden="true" outlineLevel="4">
      <c r="A328" s="2" t="s">
        <v>601</v>
      </c>
      <c r="B328" s="3" t="s">
        <v>599</v>
      </c>
      <c r="C328" s="2"/>
      <c r="D328" s="2" t="s">
        <v>16</v>
      </c>
      <c r="E328" s="4">
        <f>506.35*(1-Z1%)</f>
        <v>506.35</v>
      </c>
      <c r="F328" s="2">
        <v>3</v>
      </c>
      <c r="G328" s="2"/>
    </row>
    <row r="329" spans="1:26" customHeight="1" ht="18" hidden="true" outlineLevel="4">
      <c r="A329" s="2" t="s">
        <v>602</v>
      </c>
      <c r="B329" s="3" t="s">
        <v>603</v>
      </c>
      <c r="C329" s="2"/>
      <c r="D329" s="2" t="s">
        <v>16</v>
      </c>
      <c r="E329" s="4">
        <f>517.50*(1-Z1%)</f>
        <v>517.5</v>
      </c>
      <c r="F329" s="2">
        <v>5</v>
      </c>
      <c r="G329" s="2"/>
    </row>
    <row r="330" spans="1:26" customHeight="1" ht="36" hidden="true" outlineLevel="4">
      <c r="A330" s="2" t="s">
        <v>604</v>
      </c>
      <c r="B330" s="3" t="s">
        <v>605</v>
      </c>
      <c r="C330" s="2"/>
      <c r="D330" s="2" t="s">
        <v>16</v>
      </c>
      <c r="E330" s="4">
        <f>356.09*(1-Z1%)</f>
        <v>356.09</v>
      </c>
      <c r="F330" s="2">
        <v>7</v>
      </c>
      <c r="G330" s="2"/>
    </row>
    <row r="331" spans="1:26" customHeight="1" ht="36" hidden="true" outlineLevel="4">
      <c r="A331" s="2" t="s">
        <v>606</v>
      </c>
      <c r="B331" s="3" t="s">
        <v>607</v>
      </c>
      <c r="C331" s="2"/>
      <c r="D331" s="2" t="s">
        <v>16</v>
      </c>
      <c r="E331" s="4">
        <f>497.12*(1-Z1%)</f>
        <v>497.12</v>
      </c>
      <c r="F331" s="2">
        <v>3</v>
      </c>
      <c r="G331" s="2"/>
    </row>
    <row r="332" spans="1:26" customHeight="1" ht="36" hidden="true" outlineLevel="4">
      <c r="A332" s="2" t="s">
        <v>608</v>
      </c>
      <c r="B332" s="3" t="s">
        <v>609</v>
      </c>
      <c r="C332" s="2"/>
      <c r="D332" s="2" t="s">
        <v>16</v>
      </c>
      <c r="E332" s="4">
        <f>491.17*(1-Z1%)</f>
        <v>491.17</v>
      </c>
      <c r="F332" s="2">
        <v>1</v>
      </c>
      <c r="G332" s="2"/>
    </row>
    <row r="333" spans="1:26" customHeight="1" ht="36" hidden="true" outlineLevel="4">
      <c r="A333" s="2" t="s">
        <v>610</v>
      </c>
      <c r="B333" s="3" t="s">
        <v>611</v>
      </c>
      <c r="C333" s="2"/>
      <c r="D333" s="2" t="s">
        <v>16</v>
      </c>
      <c r="E333" s="4">
        <f>586.84*(1-Z1%)</f>
        <v>586.84</v>
      </c>
      <c r="F333" s="2">
        <v>1</v>
      </c>
      <c r="G333" s="2"/>
    </row>
    <row r="334" spans="1:26" customHeight="1" ht="18" hidden="true" outlineLevel="4">
      <c r="A334" s="2" t="s">
        <v>612</v>
      </c>
      <c r="B334" s="3" t="s">
        <v>613</v>
      </c>
      <c r="C334" s="2"/>
      <c r="D334" s="2" t="s">
        <v>16</v>
      </c>
      <c r="E334" s="4">
        <f>902.48*(1-Z1%)</f>
        <v>902.48</v>
      </c>
      <c r="F334" s="2">
        <v>1</v>
      </c>
      <c r="G334" s="2"/>
    </row>
    <row r="335" spans="1:26" customHeight="1" ht="18" hidden="true" outlineLevel="4">
      <c r="A335" s="2" t="s">
        <v>614</v>
      </c>
      <c r="B335" s="3" t="s">
        <v>613</v>
      </c>
      <c r="C335" s="2"/>
      <c r="D335" s="2" t="s">
        <v>16</v>
      </c>
      <c r="E335" s="4">
        <f>727.65*(1-Z1%)</f>
        <v>727.65</v>
      </c>
      <c r="F335" s="2">
        <v>2</v>
      </c>
      <c r="G335" s="2"/>
    </row>
    <row r="336" spans="1:26" customHeight="1" ht="18" hidden="true" outlineLevel="4">
      <c r="A336" s="2" t="s">
        <v>615</v>
      </c>
      <c r="B336" s="3" t="s">
        <v>613</v>
      </c>
      <c r="C336" s="2"/>
      <c r="D336" s="2" t="s">
        <v>16</v>
      </c>
      <c r="E336" s="4">
        <f>978.88*(1-Z1%)</f>
        <v>978.88</v>
      </c>
      <c r="F336" s="2">
        <v>1</v>
      </c>
      <c r="G336" s="2"/>
    </row>
    <row r="337" spans="1:26" customHeight="1" ht="36" hidden="true" outlineLevel="4">
      <c r="A337" s="2" t="s">
        <v>616</v>
      </c>
      <c r="B337" s="3" t="s">
        <v>617</v>
      </c>
      <c r="C337" s="2"/>
      <c r="D337" s="2" t="s">
        <v>16</v>
      </c>
      <c r="E337" s="4">
        <f>842.89*(1-Z1%)</f>
        <v>842.89</v>
      </c>
      <c r="F337" s="2">
        <v>2</v>
      </c>
      <c r="G337" s="2"/>
    </row>
    <row r="338" spans="1:26" customHeight="1" ht="36" hidden="true" outlineLevel="4">
      <c r="A338" s="2" t="s">
        <v>618</v>
      </c>
      <c r="B338" s="3" t="s">
        <v>619</v>
      </c>
      <c r="C338" s="2"/>
      <c r="D338" s="2" t="s">
        <v>16</v>
      </c>
      <c r="E338" s="4">
        <f>519.01*(1-Z1%)</f>
        <v>519.01</v>
      </c>
      <c r="F338" s="2">
        <v>3</v>
      </c>
      <c r="G338" s="2"/>
    </row>
    <row r="339" spans="1:26" customHeight="1" ht="36" hidden="true" outlineLevel="4">
      <c r="A339" s="2" t="s">
        <v>620</v>
      </c>
      <c r="B339" s="3" t="s">
        <v>621</v>
      </c>
      <c r="C339" s="2"/>
      <c r="D339" s="2" t="s">
        <v>16</v>
      </c>
      <c r="E339" s="4">
        <f>575.69*(1-Z1%)</f>
        <v>575.69</v>
      </c>
      <c r="F339" s="2">
        <v>1</v>
      </c>
      <c r="G339" s="2"/>
    </row>
    <row r="340" spans="1:26" customHeight="1" ht="36" hidden="true" outlineLevel="4">
      <c r="A340" s="2" t="s">
        <v>622</v>
      </c>
      <c r="B340" s="3" t="s">
        <v>623</v>
      </c>
      <c r="C340" s="2"/>
      <c r="D340" s="2" t="s">
        <v>16</v>
      </c>
      <c r="E340" s="4">
        <f>446.62*(1-Z1%)</f>
        <v>446.62</v>
      </c>
      <c r="F340" s="2">
        <v>1</v>
      </c>
      <c r="G340" s="2"/>
    </row>
    <row r="341" spans="1:26" customHeight="1" ht="36" hidden="true" outlineLevel="4">
      <c r="A341" s="2" t="s">
        <v>624</v>
      </c>
      <c r="B341" s="3" t="s">
        <v>625</v>
      </c>
      <c r="C341" s="2"/>
      <c r="D341" s="2" t="s">
        <v>16</v>
      </c>
      <c r="E341" s="4">
        <f>349.16*(1-Z1%)</f>
        <v>349.16</v>
      </c>
      <c r="F341" s="2">
        <v>1</v>
      </c>
      <c r="G341" s="2"/>
    </row>
    <row r="342" spans="1:26" customHeight="1" ht="18" hidden="true" outlineLevel="4">
      <c r="A342" s="2" t="s">
        <v>626</v>
      </c>
      <c r="B342" s="3" t="s">
        <v>627</v>
      </c>
      <c r="C342" s="2"/>
      <c r="D342" s="2" t="s">
        <v>16</v>
      </c>
      <c r="E342" s="4">
        <f>659.40*(1-Z1%)</f>
        <v>659.4</v>
      </c>
      <c r="F342" s="2">
        <v>3</v>
      </c>
      <c r="G342" s="2"/>
    </row>
    <row r="343" spans="1:26" customHeight="1" ht="36" hidden="true" outlineLevel="4">
      <c r="A343" s="2" t="s">
        <v>628</v>
      </c>
      <c r="B343" s="3" t="s">
        <v>629</v>
      </c>
      <c r="C343" s="2"/>
      <c r="D343" s="2" t="s">
        <v>16</v>
      </c>
      <c r="E343" s="4">
        <f>273.92*(1-Z1%)</f>
        <v>273.92</v>
      </c>
      <c r="F343" s="2">
        <v>5</v>
      </c>
      <c r="G343" s="2"/>
    </row>
    <row r="344" spans="1:26" customHeight="1" ht="36" hidden="true" outlineLevel="4">
      <c r="A344" s="2" t="s">
        <v>630</v>
      </c>
      <c r="B344" s="3" t="s">
        <v>631</v>
      </c>
      <c r="C344" s="2"/>
      <c r="D344" s="2" t="s">
        <v>16</v>
      </c>
      <c r="E344" s="4">
        <f>481.80*(1-Z1%)</f>
        <v>481.8</v>
      </c>
      <c r="F344" s="2">
        <v>4</v>
      </c>
      <c r="G344" s="2"/>
    </row>
    <row r="345" spans="1:26" customHeight="1" ht="36" hidden="true" outlineLevel="4">
      <c r="A345" s="2" t="s">
        <v>632</v>
      </c>
      <c r="B345" s="3" t="s">
        <v>633</v>
      </c>
      <c r="C345" s="2"/>
      <c r="D345" s="2" t="s">
        <v>16</v>
      </c>
      <c r="E345" s="4">
        <f>273.92*(1-Z1%)</f>
        <v>273.92</v>
      </c>
      <c r="F345" s="2">
        <v>1</v>
      </c>
      <c r="G345" s="2"/>
    </row>
    <row r="346" spans="1:26" customHeight="1" ht="90" hidden="true" outlineLevel="4">
      <c r="A346" s="2" t="s">
        <v>634</v>
      </c>
      <c r="B346" s="3" t="s">
        <v>635</v>
      </c>
      <c r="C346" s="2"/>
      <c r="D346" s="2" t="s">
        <v>16</v>
      </c>
      <c r="E346" s="4">
        <f>841.64*(1-Z1%)</f>
        <v>841.64</v>
      </c>
      <c r="F346" s="2">
        <v>1</v>
      </c>
      <c r="G346" s="2"/>
    </row>
    <row r="347" spans="1:26" customHeight="1" ht="35" hidden="true" outlineLevel="4">
      <c r="A347" s="5" t="s">
        <v>636</v>
      </c>
      <c r="B347" s="5"/>
      <c r="C347" s="5"/>
      <c r="D347" s="5"/>
      <c r="E347" s="5"/>
      <c r="F347" s="5"/>
      <c r="G347" s="5"/>
    </row>
    <row r="348" spans="1:26" customHeight="1" ht="36" hidden="true" outlineLevel="4">
      <c r="A348" s="2" t="s">
        <v>637</v>
      </c>
      <c r="B348" s="3" t="s">
        <v>638</v>
      </c>
      <c r="C348" s="2"/>
      <c r="D348" s="2" t="s">
        <v>16</v>
      </c>
      <c r="E348" s="4">
        <f>1064.14*(1-Z1%)</f>
        <v>1064.14</v>
      </c>
      <c r="F348" s="2">
        <v>2</v>
      </c>
      <c r="G348" s="2"/>
    </row>
    <row r="349" spans="1:26" customHeight="1" ht="36" hidden="true" outlineLevel="4">
      <c r="A349" s="2" t="s">
        <v>639</v>
      </c>
      <c r="B349" s="3" t="s">
        <v>640</v>
      </c>
      <c r="C349" s="2"/>
      <c r="D349" s="2" t="s">
        <v>16</v>
      </c>
      <c r="E349" s="4">
        <f>1916.67*(1-Z1%)</f>
        <v>1916.67</v>
      </c>
      <c r="F349" s="2">
        <v>2</v>
      </c>
      <c r="G349" s="2"/>
    </row>
    <row r="350" spans="1:26" customHeight="1" ht="36" hidden="true" outlineLevel="4">
      <c r="A350" s="2" t="s">
        <v>641</v>
      </c>
      <c r="B350" s="3" t="s">
        <v>642</v>
      </c>
      <c r="C350" s="2"/>
      <c r="D350" s="2" t="s">
        <v>16</v>
      </c>
      <c r="E350" s="4">
        <f>1098.57*(1-Z1%)</f>
        <v>1098.57</v>
      </c>
      <c r="F350" s="2">
        <v>1</v>
      </c>
      <c r="G350" s="2"/>
    </row>
    <row r="351" spans="1:26" customHeight="1" ht="18" hidden="true" outlineLevel="4">
      <c r="A351" s="2" t="s">
        <v>643</v>
      </c>
      <c r="B351" s="3" t="s">
        <v>644</v>
      </c>
      <c r="C351" s="2"/>
      <c r="D351" s="2" t="s">
        <v>16</v>
      </c>
      <c r="E351" s="4">
        <f>1484.71*(1-Z1%)</f>
        <v>1484.71</v>
      </c>
      <c r="F351" s="2">
        <v>2</v>
      </c>
      <c r="G351" s="2"/>
    </row>
    <row r="352" spans="1:26" customHeight="1" ht="35" hidden="true" outlineLevel="3">
      <c r="A352" s="5" t="s">
        <v>645</v>
      </c>
      <c r="B352" s="5"/>
      <c r="C352" s="5"/>
      <c r="D352" s="5"/>
      <c r="E352" s="5"/>
      <c r="F352" s="5"/>
      <c r="G352" s="5"/>
    </row>
    <row r="353" spans="1:26" customHeight="1" ht="35" hidden="true" outlineLevel="4">
      <c r="A353" s="5" t="s">
        <v>646</v>
      </c>
      <c r="B353" s="5"/>
      <c r="C353" s="5"/>
      <c r="D353" s="5"/>
      <c r="E353" s="5"/>
      <c r="F353" s="5"/>
      <c r="G353" s="5"/>
    </row>
    <row r="354" spans="1:26" customHeight="1" ht="18" hidden="true" outlineLevel="4">
      <c r="A354" s="2" t="s">
        <v>647</v>
      </c>
      <c r="B354" s="3" t="s">
        <v>648</v>
      </c>
      <c r="C354" s="2"/>
      <c r="D354" s="2" t="s">
        <v>16</v>
      </c>
      <c r="E354" s="4">
        <f>92.82*(1-Z1%)</f>
        <v>92.82</v>
      </c>
      <c r="F354" s="2">
        <v>6</v>
      </c>
      <c r="G354" s="2"/>
    </row>
    <row r="355" spans="1:26" customHeight="1" ht="36" hidden="true" outlineLevel="4">
      <c r="A355" s="2" t="s">
        <v>649</v>
      </c>
      <c r="B355" s="3" t="s">
        <v>650</v>
      </c>
      <c r="C355" s="2"/>
      <c r="D355" s="2" t="s">
        <v>16</v>
      </c>
      <c r="E355" s="4">
        <f>198.00*(1-Z1%)</f>
        <v>198</v>
      </c>
      <c r="F355" s="2">
        <v>8</v>
      </c>
      <c r="G355" s="2"/>
    </row>
    <row r="356" spans="1:26" customHeight="1" ht="35" hidden="true" outlineLevel="4">
      <c r="A356" s="5" t="s">
        <v>651</v>
      </c>
      <c r="B356" s="5"/>
      <c r="C356" s="5"/>
      <c r="D356" s="5"/>
      <c r="E356" s="5"/>
      <c r="F356" s="5"/>
      <c r="G356" s="5"/>
    </row>
    <row r="357" spans="1:26" customHeight="1" ht="18" hidden="true" outlineLevel="4">
      <c r="A357" s="2" t="s">
        <v>652</v>
      </c>
      <c r="B357" s="3" t="s">
        <v>653</v>
      </c>
      <c r="C357" s="2"/>
      <c r="D357" s="2" t="s">
        <v>16</v>
      </c>
      <c r="E357" s="4">
        <f>248.07*(1-Z1%)</f>
        <v>248.07</v>
      </c>
      <c r="F357" s="2">
        <v>2</v>
      </c>
      <c r="G357" s="2"/>
    </row>
    <row r="358" spans="1:26" customHeight="1" ht="36" hidden="true" outlineLevel="4">
      <c r="A358" s="2" t="s">
        <v>654</v>
      </c>
      <c r="B358" s="3" t="s">
        <v>655</v>
      </c>
      <c r="C358" s="2"/>
      <c r="D358" s="2" t="s">
        <v>16</v>
      </c>
      <c r="E358" s="4">
        <f>290.24*(1-Z1%)</f>
        <v>290.24</v>
      </c>
      <c r="F358" s="2">
        <v>1</v>
      </c>
      <c r="G358" s="2"/>
    </row>
    <row r="359" spans="1:26" customHeight="1" ht="36" hidden="true" outlineLevel="4">
      <c r="A359" s="2" t="s">
        <v>656</v>
      </c>
      <c r="B359" s="3" t="s">
        <v>657</v>
      </c>
      <c r="C359" s="2"/>
      <c r="D359" s="2" t="s">
        <v>16</v>
      </c>
      <c r="E359" s="4">
        <f>283.22*(1-Z1%)</f>
        <v>283.22</v>
      </c>
      <c r="F359" s="2">
        <v>2</v>
      </c>
      <c r="G359" s="2"/>
    </row>
    <row r="360" spans="1:26" customHeight="1" ht="36" hidden="true" outlineLevel="4">
      <c r="A360" s="2" t="s">
        <v>658</v>
      </c>
      <c r="B360" s="3" t="s">
        <v>659</v>
      </c>
      <c r="C360" s="2"/>
      <c r="D360" s="2" t="s">
        <v>16</v>
      </c>
      <c r="E360" s="4">
        <f>459.57*(1-Z1%)</f>
        <v>459.57</v>
      </c>
      <c r="F360" s="2">
        <v>1</v>
      </c>
      <c r="G360" s="2"/>
    </row>
    <row r="361" spans="1:26" customHeight="1" ht="36" hidden="true" outlineLevel="4">
      <c r="A361" s="2" t="s">
        <v>660</v>
      </c>
      <c r="B361" s="3" t="s">
        <v>661</v>
      </c>
      <c r="C361" s="2"/>
      <c r="D361" s="2" t="s">
        <v>16</v>
      </c>
      <c r="E361" s="4">
        <f>265.78*(1-Z1%)</f>
        <v>265.78</v>
      </c>
      <c r="F361" s="2">
        <v>1</v>
      </c>
      <c r="G361" s="2"/>
    </row>
    <row r="362" spans="1:26" customHeight="1" ht="18" hidden="true" outlineLevel="4">
      <c r="A362" s="2" t="s">
        <v>662</v>
      </c>
      <c r="B362" s="3" t="s">
        <v>663</v>
      </c>
      <c r="C362" s="2"/>
      <c r="D362" s="2" t="s">
        <v>16</v>
      </c>
      <c r="E362" s="4">
        <f>170.15*(1-Z1%)</f>
        <v>170.15</v>
      </c>
      <c r="F362" s="2">
        <v>7</v>
      </c>
      <c r="G362" s="2"/>
    </row>
    <row r="363" spans="1:26" customHeight="1" ht="18" hidden="true" outlineLevel="4">
      <c r="A363" s="2" t="s">
        <v>664</v>
      </c>
      <c r="B363" s="3" t="s">
        <v>665</v>
      </c>
      <c r="C363" s="2"/>
      <c r="D363" s="2" t="s">
        <v>16</v>
      </c>
      <c r="E363" s="4">
        <f>194.94*(1-Z1%)</f>
        <v>194.94</v>
      </c>
      <c r="F363" s="2">
        <v>3</v>
      </c>
      <c r="G363" s="2"/>
    </row>
    <row r="364" spans="1:26" customHeight="1" ht="36" hidden="true" outlineLevel="4">
      <c r="A364" s="2" t="s">
        <v>666</v>
      </c>
      <c r="B364" s="3" t="s">
        <v>667</v>
      </c>
      <c r="C364" s="2"/>
      <c r="D364" s="2" t="s">
        <v>16</v>
      </c>
      <c r="E364" s="4">
        <f>246.24*(1-Z1%)</f>
        <v>246.24</v>
      </c>
      <c r="F364" s="2">
        <v>6</v>
      </c>
      <c r="G364" s="2"/>
    </row>
    <row r="365" spans="1:26" customHeight="1" ht="36" hidden="true" outlineLevel="4">
      <c r="A365" s="2" t="s">
        <v>668</v>
      </c>
      <c r="B365" s="3" t="s">
        <v>669</v>
      </c>
      <c r="C365" s="2"/>
      <c r="D365" s="2" t="s">
        <v>16</v>
      </c>
      <c r="E365" s="4">
        <f>247.10*(1-Z1%)</f>
        <v>247.1</v>
      </c>
      <c r="F365" s="2">
        <v>2</v>
      </c>
      <c r="G365" s="2"/>
    </row>
    <row r="366" spans="1:26" customHeight="1" ht="18" hidden="true" outlineLevel="4">
      <c r="A366" s="2" t="s">
        <v>670</v>
      </c>
      <c r="B366" s="3" t="s">
        <v>671</v>
      </c>
      <c r="C366" s="2"/>
      <c r="D366" s="2" t="s">
        <v>16</v>
      </c>
      <c r="E366" s="4">
        <f>241.11*(1-Z1%)</f>
        <v>241.11</v>
      </c>
      <c r="F366" s="2">
        <v>5</v>
      </c>
      <c r="G366" s="2"/>
    </row>
    <row r="367" spans="1:26" customHeight="1" ht="36" hidden="true" outlineLevel="4">
      <c r="A367" s="2" t="s">
        <v>672</v>
      </c>
      <c r="B367" s="3" t="s">
        <v>673</v>
      </c>
      <c r="C367" s="2"/>
      <c r="D367" s="2" t="s">
        <v>16</v>
      </c>
      <c r="E367" s="4">
        <f>277.88*(1-Z1%)</f>
        <v>277.88</v>
      </c>
      <c r="F367" s="2">
        <v>5</v>
      </c>
      <c r="G367" s="2"/>
    </row>
    <row r="368" spans="1:26" customHeight="1" ht="36" hidden="true" outlineLevel="4">
      <c r="A368" s="2" t="s">
        <v>674</v>
      </c>
      <c r="B368" s="3" t="s">
        <v>675</v>
      </c>
      <c r="C368" s="2"/>
      <c r="D368" s="2" t="s">
        <v>16</v>
      </c>
      <c r="E368" s="4">
        <f>340.91*(1-Z1%)</f>
        <v>340.91</v>
      </c>
      <c r="F368" s="2">
        <v>3</v>
      </c>
      <c r="G368" s="2"/>
    </row>
    <row r="369" spans="1:26" customHeight="1" ht="36" hidden="true" outlineLevel="4">
      <c r="A369" s="2" t="s">
        <v>676</v>
      </c>
      <c r="B369" s="3" t="s">
        <v>677</v>
      </c>
      <c r="C369" s="2"/>
      <c r="D369" s="2" t="s">
        <v>16</v>
      </c>
      <c r="E369" s="4">
        <f>247.58*(1-Z1%)</f>
        <v>247.58</v>
      </c>
      <c r="F369" s="2">
        <v>7</v>
      </c>
      <c r="G369" s="2"/>
    </row>
    <row r="370" spans="1:26" customHeight="1" ht="36" hidden="true" outlineLevel="4">
      <c r="A370" s="2" t="s">
        <v>678</v>
      </c>
      <c r="B370" s="3" t="s">
        <v>679</v>
      </c>
      <c r="C370" s="2"/>
      <c r="D370" s="2" t="s">
        <v>16</v>
      </c>
      <c r="E370" s="4">
        <f>380.81*(1-Z1%)</f>
        <v>380.81</v>
      </c>
      <c r="F370" s="2">
        <v>4</v>
      </c>
      <c r="G370" s="2"/>
    </row>
    <row r="371" spans="1:26" customHeight="1" ht="36" hidden="true" outlineLevel="4">
      <c r="A371" s="2" t="s">
        <v>680</v>
      </c>
      <c r="B371" s="3" t="s">
        <v>681</v>
      </c>
      <c r="C371" s="2"/>
      <c r="D371" s="2" t="s">
        <v>16</v>
      </c>
      <c r="E371" s="4">
        <f>265.05*(1-Z1%)</f>
        <v>265.05</v>
      </c>
      <c r="F371" s="2">
        <v>2</v>
      </c>
      <c r="G371" s="2"/>
    </row>
    <row r="372" spans="1:26" customHeight="1" ht="36" hidden="true" outlineLevel="4">
      <c r="A372" s="2" t="s">
        <v>682</v>
      </c>
      <c r="B372" s="3" t="s">
        <v>683</v>
      </c>
      <c r="C372" s="2"/>
      <c r="D372" s="2" t="s">
        <v>16</v>
      </c>
      <c r="E372" s="4">
        <f>305.67*(1-Z1%)</f>
        <v>305.67</v>
      </c>
      <c r="F372" s="2">
        <v>4</v>
      </c>
      <c r="G372" s="2"/>
    </row>
    <row r="373" spans="1:26" customHeight="1" ht="36" hidden="true" outlineLevel="4">
      <c r="A373" s="2" t="s">
        <v>684</v>
      </c>
      <c r="B373" s="3" t="s">
        <v>685</v>
      </c>
      <c r="C373" s="2"/>
      <c r="D373" s="2" t="s">
        <v>16</v>
      </c>
      <c r="E373" s="4">
        <f>295.97*(1-Z1%)</f>
        <v>295.97</v>
      </c>
      <c r="F373" s="2">
        <v>1</v>
      </c>
      <c r="G373" s="2"/>
    </row>
    <row r="374" spans="1:26" customHeight="1" ht="36" hidden="true" outlineLevel="4">
      <c r="A374" s="2" t="s">
        <v>686</v>
      </c>
      <c r="B374" s="3" t="s">
        <v>687</v>
      </c>
      <c r="C374" s="2"/>
      <c r="D374" s="2" t="s">
        <v>16</v>
      </c>
      <c r="E374" s="4">
        <f>170.47*(1-Z1%)</f>
        <v>170.47</v>
      </c>
      <c r="F374" s="2">
        <v>2</v>
      </c>
      <c r="G374" s="2"/>
    </row>
    <row r="375" spans="1:26" customHeight="1" ht="36" hidden="true" outlineLevel="4">
      <c r="A375" s="2" t="s">
        <v>688</v>
      </c>
      <c r="B375" s="3" t="s">
        <v>689</v>
      </c>
      <c r="C375" s="2"/>
      <c r="D375" s="2" t="s">
        <v>16</v>
      </c>
      <c r="E375" s="4">
        <f>295.13*(1-Z1%)</f>
        <v>295.13</v>
      </c>
      <c r="F375" s="2">
        <v>1</v>
      </c>
      <c r="G375" s="2"/>
    </row>
    <row r="376" spans="1:26" customHeight="1" ht="36" hidden="true" outlineLevel="4">
      <c r="A376" s="2" t="s">
        <v>690</v>
      </c>
      <c r="B376" s="3" t="s">
        <v>691</v>
      </c>
      <c r="C376" s="2"/>
      <c r="D376" s="2" t="s">
        <v>16</v>
      </c>
      <c r="E376" s="4">
        <f>354.73*(1-Z1%)</f>
        <v>354.73</v>
      </c>
      <c r="F376" s="2">
        <v>2</v>
      </c>
      <c r="G376" s="2"/>
    </row>
    <row r="377" spans="1:26" customHeight="1" ht="36" hidden="true" outlineLevel="4">
      <c r="A377" s="2" t="s">
        <v>692</v>
      </c>
      <c r="B377" s="3" t="s">
        <v>693</v>
      </c>
      <c r="C377" s="2"/>
      <c r="D377" s="2" t="s">
        <v>16</v>
      </c>
      <c r="E377" s="4">
        <f>298.91*(1-Z1%)</f>
        <v>298.91</v>
      </c>
      <c r="F377" s="2">
        <v>1</v>
      </c>
      <c r="G377" s="2"/>
    </row>
    <row r="378" spans="1:26" customHeight="1" ht="18" hidden="true" outlineLevel="4">
      <c r="A378" s="2" t="s">
        <v>694</v>
      </c>
      <c r="B378" s="3" t="s">
        <v>695</v>
      </c>
      <c r="C378" s="2"/>
      <c r="D378" s="2" t="s">
        <v>16</v>
      </c>
      <c r="E378" s="4">
        <f>133.73*(1-Z1%)</f>
        <v>133.73</v>
      </c>
      <c r="F378" s="2">
        <v>1</v>
      </c>
      <c r="G378" s="2"/>
    </row>
    <row r="379" spans="1:26" customHeight="1" ht="35" hidden="true" outlineLevel="4">
      <c r="A379" s="5" t="s">
        <v>696</v>
      </c>
      <c r="B379" s="5"/>
      <c r="C379" s="5"/>
      <c r="D379" s="5"/>
      <c r="E379" s="5"/>
      <c r="F379" s="5"/>
      <c r="G379" s="5"/>
    </row>
    <row r="380" spans="1:26" customHeight="1" ht="36" hidden="true" outlineLevel="4">
      <c r="A380" s="2" t="s">
        <v>697</v>
      </c>
      <c r="B380" s="3" t="s">
        <v>698</v>
      </c>
      <c r="C380" s="2"/>
      <c r="D380" s="2" t="s">
        <v>16</v>
      </c>
      <c r="E380" s="4">
        <f>124.61*(1-Z1%)</f>
        <v>124.61</v>
      </c>
      <c r="F380" s="2">
        <v>5</v>
      </c>
      <c r="G380" s="2"/>
    </row>
    <row r="381" spans="1:26" customHeight="1" ht="36" hidden="true" outlineLevel="4">
      <c r="A381" s="2" t="s">
        <v>699</v>
      </c>
      <c r="B381" s="3" t="s">
        <v>700</v>
      </c>
      <c r="C381" s="2"/>
      <c r="D381" s="2" t="s">
        <v>16</v>
      </c>
      <c r="E381" s="4">
        <f>470.25*(1-Z1%)</f>
        <v>470.25</v>
      </c>
      <c r="F381" s="2">
        <v>2</v>
      </c>
      <c r="G381" s="2"/>
    </row>
    <row r="382" spans="1:26" customHeight="1" ht="36" hidden="true" outlineLevel="4">
      <c r="A382" s="2" t="s">
        <v>701</v>
      </c>
      <c r="B382" s="3" t="s">
        <v>702</v>
      </c>
      <c r="C382" s="2"/>
      <c r="D382" s="2" t="s">
        <v>16</v>
      </c>
      <c r="E382" s="4">
        <f>272.25*(1-Z1%)</f>
        <v>272.25</v>
      </c>
      <c r="F382" s="2">
        <v>9</v>
      </c>
      <c r="G382" s="2"/>
    </row>
    <row r="383" spans="1:26" customHeight="1" ht="36" hidden="true" outlineLevel="4">
      <c r="A383" s="2" t="s">
        <v>703</v>
      </c>
      <c r="B383" s="3" t="s">
        <v>704</v>
      </c>
      <c r="C383" s="2"/>
      <c r="D383" s="2" t="s">
        <v>16</v>
      </c>
      <c r="E383" s="4">
        <f>346.50*(1-Z1%)</f>
        <v>346.5</v>
      </c>
      <c r="F383" s="2">
        <v>9</v>
      </c>
      <c r="G383" s="2"/>
    </row>
    <row r="384" spans="1:26" customHeight="1" ht="36" hidden="true" outlineLevel="4">
      <c r="A384" s="2" t="s">
        <v>705</v>
      </c>
      <c r="B384" s="3" t="s">
        <v>706</v>
      </c>
      <c r="C384" s="2"/>
      <c r="D384" s="2" t="s">
        <v>16</v>
      </c>
      <c r="E384" s="4">
        <f>84.65*(1-Z1%)</f>
        <v>84.65</v>
      </c>
      <c r="F384" s="2">
        <v>17</v>
      </c>
      <c r="G384" s="2"/>
    </row>
    <row r="385" spans="1:26" customHeight="1" ht="35" hidden="true" outlineLevel="2">
      <c r="A385" s="5" t="s">
        <v>707</v>
      </c>
      <c r="B385" s="5"/>
      <c r="C385" s="5"/>
      <c r="D385" s="5"/>
      <c r="E385" s="5"/>
      <c r="F385" s="5"/>
      <c r="G385" s="5"/>
    </row>
    <row r="386" spans="1:26" customHeight="1" ht="35" hidden="true" outlineLevel="3">
      <c r="A386" s="5" t="s">
        <v>708</v>
      </c>
      <c r="B386" s="5"/>
      <c r="C386" s="5"/>
      <c r="D386" s="5"/>
      <c r="E386" s="5"/>
      <c r="F386" s="5"/>
      <c r="G386" s="5"/>
    </row>
    <row r="387" spans="1:26" customHeight="1" ht="18" hidden="true" outlineLevel="3">
      <c r="A387" s="2" t="s">
        <v>709</v>
      </c>
      <c r="B387" s="3" t="s">
        <v>710</v>
      </c>
      <c r="C387" s="2"/>
      <c r="D387" s="2" t="s">
        <v>16</v>
      </c>
      <c r="E387" s="4">
        <f>180.41*(1-Z1%)</f>
        <v>180.41</v>
      </c>
      <c r="F387" s="2">
        <v>84</v>
      </c>
      <c r="G387" s="2"/>
    </row>
    <row r="388" spans="1:26" customHeight="1" ht="18" hidden="true" outlineLevel="3">
      <c r="A388" s="2" t="s">
        <v>711</v>
      </c>
      <c r="B388" s="3" t="s">
        <v>712</v>
      </c>
      <c r="C388" s="2"/>
      <c r="D388" s="2" t="s">
        <v>16</v>
      </c>
      <c r="E388" s="4">
        <f>157.18*(1-Z1%)</f>
        <v>157.18</v>
      </c>
      <c r="F388" s="2">
        <v>6</v>
      </c>
      <c r="G388" s="2"/>
    </row>
    <row r="389" spans="1:26" customHeight="1" ht="18" hidden="true" outlineLevel="3">
      <c r="A389" s="2" t="s">
        <v>713</v>
      </c>
      <c r="B389" s="3" t="s">
        <v>714</v>
      </c>
      <c r="C389" s="2"/>
      <c r="D389" s="2" t="s">
        <v>16</v>
      </c>
      <c r="E389" s="4">
        <f>157.18*(1-Z1%)</f>
        <v>157.18</v>
      </c>
      <c r="F389" s="2">
        <v>11</v>
      </c>
      <c r="G389" s="2"/>
    </row>
    <row r="390" spans="1:26" customHeight="1" ht="18" hidden="true" outlineLevel="3">
      <c r="A390" s="2" t="s">
        <v>715</v>
      </c>
      <c r="B390" s="3" t="s">
        <v>716</v>
      </c>
      <c r="C390" s="2"/>
      <c r="D390" s="2" t="s">
        <v>16</v>
      </c>
      <c r="E390" s="4">
        <f>15.53*(1-Z1%)</f>
        <v>15.53</v>
      </c>
      <c r="F390" s="2">
        <v>1612</v>
      </c>
      <c r="G390" s="2"/>
    </row>
    <row r="391" spans="1:26" customHeight="1" ht="35" hidden="true" outlineLevel="3">
      <c r="A391" s="5" t="s">
        <v>717</v>
      </c>
      <c r="B391" s="5"/>
      <c r="C391" s="5"/>
      <c r="D391" s="5"/>
      <c r="E391" s="5"/>
      <c r="F391" s="5"/>
      <c r="G391" s="5"/>
    </row>
    <row r="392" spans="1:26" customHeight="1" ht="36" hidden="true" outlineLevel="3">
      <c r="A392" s="2" t="s">
        <v>718</v>
      </c>
      <c r="B392" s="3" t="s">
        <v>719</v>
      </c>
      <c r="C392" s="2"/>
      <c r="D392" s="2" t="s">
        <v>16</v>
      </c>
      <c r="E392" s="4">
        <f>178.70*(1-Z1%)</f>
        <v>178.7</v>
      </c>
      <c r="F392" s="2">
        <v>1</v>
      </c>
      <c r="G392" s="2"/>
    </row>
    <row r="393" spans="1:26" customHeight="1" ht="36" hidden="true" outlineLevel="3">
      <c r="A393" s="2" t="s">
        <v>720</v>
      </c>
      <c r="B393" s="3" t="s">
        <v>721</v>
      </c>
      <c r="C393" s="2"/>
      <c r="D393" s="2" t="s">
        <v>16</v>
      </c>
      <c r="E393" s="4">
        <f>181.45*(1-Z1%)</f>
        <v>181.45</v>
      </c>
      <c r="F393" s="2">
        <v>1</v>
      </c>
      <c r="G393" s="2"/>
    </row>
    <row r="394" spans="1:26" customHeight="1" ht="18" hidden="true" outlineLevel="3">
      <c r="A394" s="2" t="s">
        <v>722</v>
      </c>
      <c r="B394" s="3" t="s">
        <v>723</v>
      </c>
      <c r="C394" s="2"/>
      <c r="D394" s="2" t="s">
        <v>16</v>
      </c>
      <c r="E394" s="4">
        <f>136.69*(1-Z1%)</f>
        <v>136.69</v>
      </c>
      <c r="F394" s="2">
        <v>2</v>
      </c>
      <c r="G394" s="2"/>
    </row>
    <row r="395" spans="1:26" customHeight="1" ht="36" hidden="true" outlineLevel="3">
      <c r="A395" s="2" t="s">
        <v>724</v>
      </c>
      <c r="B395" s="3" t="s">
        <v>725</v>
      </c>
      <c r="C395" s="2"/>
      <c r="D395" s="2" t="s">
        <v>16</v>
      </c>
      <c r="E395" s="4">
        <f>258.20*(1-Z1%)</f>
        <v>258.2</v>
      </c>
      <c r="F395" s="2">
        <v>1</v>
      </c>
      <c r="G395" s="2"/>
    </row>
    <row r="396" spans="1:26" customHeight="1" ht="36" hidden="true" outlineLevel="3">
      <c r="A396" s="2" t="s">
        <v>726</v>
      </c>
      <c r="B396" s="3" t="s">
        <v>727</v>
      </c>
      <c r="C396" s="2"/>
      <c r="D396" s="2" t="s">
        <v>16</v>
      </c>
      <c r="E396" s="4">
        <f>176.18*(1-Z1%)</f>
        <v>176.18</v>
      </c>
      <c r="F396" s="2">
        <v>3</v>
      </c>
      <c r="G396" s="2"/>
    </row>
    <row r="397" spans="1:26" customHeight="1" ht="18" hidden="true" outlineLevel="3">
      <c r="A397" s="2" t="s">
        <v>728</v>
      </c>
      <c r="B397" s="3" t="s">
        <v>729</v>
      </c>
      <c r="C397" s="2"/>
      <c r="D397" s="2" t="s">
        <v>16</v>
      </c>
      <c r="E397" s="4">
        <f>188.33*(1-Z1%)</f>
        <v>188.33</v>
      </c>
      <c r="F397" s="2">
        <v>1</v>
      </c>
      <c r="G397" s="2"/>
    </row>
    <row r="398" spans="1:26" customHeight="1" ht="18" hidden="true" outlineLevel="3">
      <c r="A398" s="2" t="s">
        <v>730</v>
      </c>
      <c r="B398" s="3" t="s">
        <v>731</v>
      </c>
      <c r="C398" s="2"/>
      <c r="D398" s="2" t="s">
        <v>16</v>
      </c>
      <c r="E398" s="4">
        <f>101.25*(1-Z1%)</f>
        <v>101.25</v>
      </c>
      <c r="F398" s="2">
        <v>1</v>
      </c>
      <c r="G398" s="2"/>
    </row>
    <row r="399" spans="1:26" customHeight="1" ht="35" hidden="true" outlineLevel="3">
      <c r="A399" s="5" t="s">
        <v>732</v>
      </c>
      <c r="B399" s="5"/>
      <c r="C399" s="5"/>
      <c r="D399" s="5"/>
      <c r="E399" s="5"/>
      <c r="F399" s="5"/>
      <c r="G399" s="5"/>
    </row>
    <row r="400" spans="1:26" customHeight="1" ht="35" hidden="true" outlineLevel="4">
      <c r="A400" s="5" t="s">
        <v>733</v>
      </c>
      <c r="B400" s="5"/>
      <c r="C400" s="5"/>
      <c r="D400" s="5"/>
      <c r="E400" s="5"/>
      <c r="F400" s="5"/>
      <c r="G400" s="5"/>
    </row>
    <row r="401" spans="1:26" customHeight="1" ht="36" hidden="true" outlineLevel="4">
      <c r="A401" s="2" t="s">
        <v>734</v>
      </c>
      <c r="B401" s="3" t="s">
        <v>735</v>
      </c>
      <c r="C401" s="2"/>
      <c r="D401" s="2" t="s">
        <v>16</v>
      </c>
      <c r="E401" s="4">
        <f>346.44*(1-Z1%)</f>
        <v>346.44</v>
      </c>
      <c r="F401" s="2">
        <v>3</v>
      </c>
      <c r="G401" s="2"/>
    </row>
    <row r="402" spans="1:26" customHeight="1" ht="35" hidden="true" outlineLevel="4">
      <c r="A402" s="5" t="s">
        <v>736</v>
      </c>
      <c r="B402" s="5"/>
      <c r="C402" s="5"/>
      <c r="D402" s="5"/>
      <c r="E402" s="5"/>
      <c r="F402" s="5"/>
      <c r="G402" s="5"/>
    </row>
    <row r="403" spans="1:26" customHeight="1" ht="36" hidden="true" outlineLevel="4">
      <c r="A403" s="2" t="s">
        <v>737</v>
      </c>
      <c r="B403" s="3" t="s">
        <v>738</v>
      </c>
      <c r="C403" s="2"/>
      <c r="D403" s="2" t="s">
        <v>16</v>
      </c>
      <c r="E403" s="4">
        <f>243.00*(1-Z1%)</f>
        <v>243</v>
      </c>
      <c r="F403" s="2">
        <v>5</v>
      </c>
      <c r="G403" s="2"/>
    </row>
    <row r="404" spans="1:26" customHeight="1" ht="36" hidden="true" outlineLevel="4">
      <c r="A404" s="2" t="s">
        <v>739</v>
      </c>
      <c r="B404" s="3" t="s">
        <v>740</v>
      </c>
      <c r="C404" s="2"/>
      <c r="D404" s="2" t="s">
        <v>16</v>
      </c>
      <c r="E404" s="4">
        <f>447.80*(1-Z1%)</f>
        <v>447.8</v>
      </c>
      <c r="F404" s="2">
        <v>5</v>
      </c>
      <c r="G404" s="2"/>
    </row>
    <row r="405" spans="1:26" customHeight="1" ht="18" hidden="true" outlineLevel="4">
      <c r="A405" s="2" t="s">
        <v>741</v>
      </c>
      <c r="B405" s="3" t="s">
        <v>742</v>
      </c>
      <c r="C405" s="2"/>
      <c r="D405" s="2" t="s">
        <v>16</v>
      </c>
      <c r="E405" s="4">
        <f>425.37*(1-Z1%)</f>
        <v>425.37</v>
      </c>
      <c r="F405" s="2">
        <v>5</v>
      </c>
      <c r="G405" s="2"/>
    </row>
    <row r="406" spans="1:26" customHeight="1" ht="36" hidden="true" outlineLevel="4">
      <c r="A406" s="2" t="s">
        <v>743</v>
      </c>
      <c r="B406" s="3" t="s">
        <v>744</v>
      </c>
      <c r="C406" s="2"/>
      <c r="D406" s="2" t="s">
        <v>16</v>
      </c>
      <c r="E406" s="4">
        <f>206.23*(1-Z1%)</f>
        <v>206.23</v>
      </c>
      <c r="F406" s="2">
        <v>2</v>
      </c>
      <c r="G406" s="2"/>
    </row>
    <row r="407" spans="1:26" customHeight="1" ht="36" hidden="true" outlineLevel="4">
      <c r="A407" s="2" t="s">
        <v>745</v>
      </c>
      <c r="B407" s="3" t="s">
        <v>746</v>
      </c>
      <c r="C407" s="2"/>
      <c r="D407" s="2" t="s">
        <v>16</v>
      </c>
      <c r="E407" s="4">
        <f>296.56*(1-Z1%)</f>
        <v>296.56</v>
      </c>
      <c r="F407" s="2">
        <v>4</v>
      </c>
      <c r="G407" s="2"/>
    </row>
    <row r="408" spans="1:26" customHeight="1" ht="36" hidden="true" outlineLevel="4">
      <c r="A408" s="2" t="s">
        <v>747</v>
      </c>
      <c r="B408" s="3" t="s">
        <v>748</v>
      </c>
      <c r="C408" s="2"/>
      <c r="D408" s="2" t="s">
        <v>16</v>
      </c>
      <c r="E408" s="4">
        <f>321.95*(1-Z1%)</f>
        <v>321.95</v>
      </c>
      <c r="F408" s="2">
        <v>2</v>
      </c>
      <c r="G408" s="2"/>
    </row>
    <row r="409" spans="1:26" customHeight="1" ht="36" hidden="true" outlineLevel="4">
      <c r="A409" s="2" t="s">
        <v>749</v>
      </c>
      <c r="B409" s="3" t="s">
        <v>750</v>
      </c>
      <c r="C409" s="2"/>
      <c r="D409" s="2" t="s">
        <v>16</v>
      </c>
      <c r="E409" s="4">
        <f>418.97*(1-Z1%)</f>
        <v>418.97</v>
      </c>
      <c r="F409" s="2">
        <v>1</v>
      </c>
      <c r="G409" s="2"/>
    </row>
    <row r="410" spans="1:26" customHeight="1" ht="36" hidden="true" outlineLevel="4">
      <c r="A410" s="2" t="s">
        <v>751</v>
      </c>
      <c r="B410" s="3" t="s">
        <v>752</v>
      </c>
      <c r="C410" s="2"/>
      <c r="D410" s="2" t="s">
        <v>16</v>
      </c>
      <c r="E410" s="4">
        <f>338.48*(1-Z1%)</f>
        <v>338.48</v>
      </c>
      <c r="F410" s="2">
        <v>1</v>
      </c>
      <c r="G410" s="2"/>
    </row>
    <row r="411" spans="1:26" customHeight="1" ht="18" hidden="true" outlineLevel="4">
      <c r="A411" s="2" t="s">
        <v>753</v>
      </c>
      <c r="B411" s="3" t="s">
        <v>754</v>
      </c>
      <c r="C411" s="2"/>
      <c r="D411" s="2" t="s">
        <v>16</v>
      </c>
      <c r="E411" s="4">
        <f>303.26*(1-Z1%)</f>
        <v>303.26</v>
      </c>
      <c r="F411" s="2">
        <v>2</v>
      </c>
      <c r="G411" s="2"/>
    </row>
    <row r="412" spans="1:26" customHeight="1" ht="36" hidden="true" outlineLevel="4">
      <c r="A412" s="2" t="s">
        <v>755</v>
      </c>
      <c r="B412" s="3" t="s">
        <v>756</v>
      </c>
      <c r="C412" s="2"/>
      <c r="D412" s="2" t="s">
        <v>16</v>
      </c>
      <c r="E412" s="4">
        <f>201.84*(1-Z1%)</f>
        <v>201.84</v>
      </c>
      <c r="F412" s="2">
        <v>4</v>
      </c>
      <c r="G412" s="2"/>
    </row>
    <row r="413" spans="1:26" customHeight="1" ht="36" hidden="true" outlineLevel="4">
      <c r="A413" s="2" t="s">
        <v>757</v>
      </c>
      <c r="B413" s="3" t="s">
        <v>758</v>
      </c>
      <c r="C413" s="2"/>
      <c r="D413" s="2" t="s">
        <v>16</v>
      </c>
      <c r="E413" s="4">
        <f>206.22*(1-Z1%)</f>
        <v>206.22</v>
      </c>
      <c r="F413" s="2">
        <v>3</v>
      </c>
      <c r="G413" s="2"/>
    </row>
    <row r="414" spans="1:26" customHeight="1" ht="36" hidden="true" outlineLevel="4">
      <c r="A414" s="2" t="s">
        <v>759</v>
      </c>
      <c r="B414" s="3" t="s">
        <v>760</v>
      </c>
      <c r="C414" s="2"/>
      <c r="D414" s="2" t="s">
        <v>16</v>
      </c>
      <c r="E414" s="4">
        <f>204.63*(1-Z1%)</f>
        <v>204.63</v>
      </c>
      <c r="F414" s="2">
        <v>1</v>
      </c>
      <c r="G414" s="2"/>
    </row>
    <row r="415" spans="1:26" customHeight="1" ht="36" hidden="true" outlineLevel="4">
      <c r="A415" s="2" t="s">
        <v>761</v>
      </c>
      <c r="B415" s="3" t="s">
        <v>762</v>
      </c>
      <c r="C415" s="2"/>
      <c r="D415" s="2" t="s">
        <v>16</v>
      </c>
      <c r="E415" s="4">
        <f>280.20*(1-Z1%)</f>
        <v>280.2</v>
      </c>
      <c r="F415" s="2">
        <v>4</v>
      </c>
      <c r="G415" s="2"/>
    </row>
    <row r="416" spans="1:26" customHeight="1" ht="36" hidden="true" outlineLevel="4">
      <c r="A416" s="2" t="s">
        <v>763</v>
      </c>
      <c r="B416" s="3" t="s">
        <v>764</v>
      </c>
      <c r="C416" s="2"/>
      <c r="D416" s="2" t="s">
        <v>16</v>
      </c>
      <c r="E416" s="4">
        <f>395.79*(1-Z1%)</f>
        <v>395.79</v>
      </c>
      <c r="F416" s="2">
        <v>4</v>
      </c>
      <c r="G416" s="2"/>
    </row>
    <row r="417" spans="1:26" customHeight="1" ht="36" hidden="true" outlineLevel="4">
      <c r="A417" s="2" t="s">
        <v>765</v>
      </c>
      <c r="B417" s="3" t="s">
        <v>766</v>
      </c>
      <c r="C417" s="2"/>
      <c r="D417" s="2" t="s">
        <v>16</v>
      </c>
      <c r="E417" s="4">
        <f>115.46*(1-Z1%)</f>
        <v>115.46</v>
      </c>
      <c r="F417" s="2">
        <v>3</v>
      </c>
      <c r="G417" s="2"/>
    </row>
    <row r="418" spans="1:26" customHeight="1" ht="36" hidden="true" outlineLevel="4">
      <c r="A418" s="2" t="s">
        <v>767</v>
      </c>
      <c r="B418" s="3" t="s">
        <v>768</v>
      </c>
      <c r="C418" s="2"/>
      <c r="D418" s="2" t="s">
        <v>16</v>
      </c>
      <c r="E418" s="4">
        <f>117.95*(1-Z1%)</f>
        <v>117.95</v>
      </c>
      <c r="F418" s="2">
        <v>3</v>
      </c>
      <c r="G418" s="2"/>
    </row>
    <row r="419" spans="1:26" customHeight="1" ht="36" hidden="true" outlineLevel="4">
      <c r="A419" s="2" t="s">
        <v>769</v>
      </c>
      <c r="B419" s="3" t="s">
        <v>770</v>
      </c>
      <c r="C419" s="2"/>
      <c r="D419" s="2" t="s">
        <v>16</v>
      </c>
      <c r="E419" s="4">
        <f>130.88*(1-Z1%)</f>
        <v>130.88</v>
      </c>
      <c r="F419" s="2">
        <v>3</v>
      </c>
      <c r="G419" s="2"/>
    </row>
    <row r="420" spans="1:26" customHeight="1" ht="36" hidden="true" outlineLevel="4">
      <c r="A420" s="2" t="s">
        <v>771</v>
      </c>
      <c r="B420" s="3" t="s">
        <v>772</v>
      </c>
      <c r="C420" s="2"/>
      <c r="D420" s="2" t="s">
        <v>16</v>
      </c>
      <c r="E420" s="4">
        <f>126.73*(1-Z1%)</f>
        <v>126.73</v>
      </c>
      <c r="F420" s="2">
        <v>2</v>
      </c>
      <c r="G420" s="2"/>
    </row>
    <row r="421" spans="1:26" customHeight="1" ht="36" hidden="true" outlineLevel="4">
      <c r="A421" s="2" t="s">
        <v>773</v>
      </c>
      <c r="B421" s="3" t="s">
        <v>774</v>
      </c>
      <c r="C421" s="2"/>
      <c r="D421" s="2" t="s">
        <v>16</v>
      </c>
      <c r="E421" s="4">
        <f>252.06*(1-Z1%)</f>
        <v>252.06</v>
      </c>
      <c r="F421" s="2">
        <v>4</v>
      </c>
      <c r="G421" s="2"/>
    </row>
    <row r="422" spans="1:26" customHeight="1" ht="18" hidden="true" outlineLevel="4">
      <c r="A422" s="2" t="s">
        <v>775</v>
      </c>
      <c r="B422" s="3" t="s">
        <v>776</v>
      </c>
      <c r="C422" s="2"/>
      <c r="D422" s="2" t="s">
        <v>16</v>
      </c>
      <c r="E422" s="4">
        <f>89.78*(1-Z1%)</f>
        <v>89.78</v>
      </c>
      <c r="F422" s="2">
        <v>6</v>
      </c>
      <c r="G422" s="2"/>
    </row>
    <row r="423" spans="1:26" customHeight="1" ht="18" hidden="true" outlineLevel="4">
      <c r="A423" s="2" t="s">
        <v>777</v>
      </c>
      <c r="B423" s="3" t="s">
        <v>778</v>
      </c>
      <c r="C423" s="2"/>
      <c r="D423" s="2" t="s">
        <v>16</v>
      </c>
      <c r="E423" s="4">
        <f>169.29*(1-Z1%)</f>
        <v>169.29</v>
      </c>
      <c r="F423" s="2">
        <v>10</v>
      </c>
      <c r="G423" s="2"/>
    </row>
    <row r="424" spans="1:26" customHeight="1" ht="18" hidden="true" outlineLevel="4">
      <c r="A424" s="2" t="s">
        <v>779</v>
      </c>
      <c r="B424" s="3" t="s">
        <v>780</v>
      </c>
      <c r="C424" s="2"/>
      <c r="D424" s="2" t="s">
        <v>16</v>
      </c>
      <c r="E424" s="4">
        <f>237.69*(1-Z1%)</f>
        <v>237.69</v>
      </c>
      <c r="F424" s="2">
        <v>6</v>
      </c>
      <c r="G424" s="2"/>
    </row>
    <row r="425" spans="1:26" customHeight="1" ht="18" hidden="true" outlineLevel="4">
      <c r="A425" s="2" t="s">
        <v>781</v>
      </c>
      <c r="B425" s="3" t="s">
        <v>782</v>
      </c>
      <c r="C425" s="2"/>
      <c r="D425" s="2" t="s">
        <v>16</v>
      </c>
      <c r="E425" s="4">
        <f>146.21*(1-Z1%)</f>
        <v>146.21</v>
      </c>
      <c r="F425" s="2">
        <v>24</v>
      </c>
      <c r="G425" s="2"/>
    </row>
    <row r="426" spans="1:26" customHeight="1" ht="36" hidden="true" outlineLevel="4">
      <c r="A426" s="2" t="s">
        <v>783</v>
      </c>
      <c r="B426" s="3" t="s">
        <v>784</v>
      </c>
      <c r="C426" s="2"/>
      <c r="D426" s="2" t="s">
        <v>16</v>
      </c>
      <c r="E426" s="4">
        <f>112.01*(1-Z1%)</f>
        <v>112.01</v>
      </c>
      <c r="F426" s="2">
        <v>26</v>
      </c>
      <c r="G426" s="2"/>
    </row>
    <row r="427" spans="1:26" customHeight="1" ht="18" hidden="true" outlineLevel="4">
      <c r="A427" s="2" t="s">
        <v>785</v>
      </c>
      <c r="B427" s="3" t="s">
        <v>786</v>
      </c>
      <c r="C427" s="2"/>
      <c r="D427" s="2" t="s">
        <v>16</v>
      </c>
      <c r="E427" s="4">
        <f>141.93*(1-Z1%)</f>
        <v>141.93</v>
      </c>
      <c r="F427" s="2">
        <v>22</v>
      </c>
      <c r="G427" s="2"/>
    </row>
    <row r="428" spans="1:26" customHeight="1" ht="18" hidden="true" outlineLevel="4">
      <c r="A428" s="2" t="s">
        <v>787</v>
      </c>
      <c r="B428" s="3" t="s">
        <v>788</v>
      </c>
      <c r="C428" s="2"/>
      <c r="D428" s="2" t="s">
        <v>16</v>
      </c>
      <c r="E428" s="4">
        <f>155.61*(1-Z1%)</f>
        <v>155.61</v>
      </c>
      <c r="F428" s="2">
        <v>31</v>
      </c>
      <c r="G428" s="2"/>
    </row>
    <row r="429" spans="1:26" customHeight="1" ht="18" hidden="true" outlineLevel="4">
      <c r="A429" s="2" t="s">
        <v>789</v>
      </c>
      <c r="B429" s="3" t="s">
        <v>790</v>
      </c>
      <c r="C429" s="2"/>
      <c r="D429" s="2" t="s">
        <v>16</v>
      </c>
      <c r="E429" s="4">
        <f>82.08*(1-Z1%)</f>
        <v>82.08</v>
      </c>
      <c r="F429" s="2">
        <v>6</v>
      </c>
      <c r="G429" s="2"/>
    </row>
    <row r="430" spans="1:26" customHeight="1" ht="18" hidden="true" outlineLevel="4">
      <c r="A430" s="2" t="s">
        <v>791</v>
      </c>
      <c r="B430" s="3" t="s">
        <v>792</v>
      </c>
      <c r="C430" s="2"/>
      <c r="D430" s="2" t="s">
        <v>16</v>
      </c>
      <c r="E430" s="4">
        <f>104.31*(1-Z1%)</f>
        <v>104.31</v>
      </c>
      <c r="F430" s="2">
        <v>7</v>
      </c>
      <c r="G430" s="2"/>
    </row>
    <row r="431" spans="1:26" customHeight="1" ht="18" hidden="true" outlineLevel="4">
      <c r="A431" s="2" t="s">
        <v>793</v>
      </c>
      <c r="B431" s="3" t="s">
        <v>794</v>
      </c>
      <c r="C431" s="2"/>
      <c r="D431" s="2" t="s">
        <v>16</v>
      </c>
      <c r="E431" s="4">
        <f>288.14*(1-Z1%)</f>
        <v>288.14</v>
      </c>
      <c r="F431" s="2">
        <v>28</v>
      </c>
      <c r="G431" s="2"/>
    </row>
    <row r="432" spans="1:26" customHeight="1" ht="18" hidden="true" outlineLevel="4">
      <c r="A432" s="2" t="s">
        <v>795</v>
      </c>
      <c r="B432" s="3" t="s">
        <v>796</v>
      </c>
      <c r="C432" s="2"/>
      <c r="D432" s="2" t="s">
        <v>16</v>
      </c>
      <c r="E432" s="4">
        <f>262.49*(1-Z1%)</f>
        <v>262.49</v>
      </c>
      <c r="F432" s="2">
        <v>21</v>
      </c>
      <c r="G432" s="2"/>
    </row>
    <row r="433" spans="1:26" customHeight="1" ht="18" hidden="true" outlineLevel="4">
      <c r="A433" s="2" t="s">
        <v>797</v>
      </c>
      <c r="B433" s="3" t="s">
        <v>798</v>
      </c>
      <c r="C433" s="2"/>
      <c r="D433" s="2" t="s">
        <v>16</v>
      </c>
      <c r="E433" s="4">
        <f>247.95*(1-Z1%)</f>
        <v>247.95</v>
      </c>
      <c r="F433" s="2">
        <v>13</v>
      </c>
      <c r="G433" s="2"/>
    </row>
    <row r="434" spans="1:26" customHeight="1" ht="18" hidden="true" outlineLevel="4">
      <c r="A434" s="2" t="s">
        <v>799</v>
      </c>
      <c r="B434" s="3" t="s">
        <v>800</v>
      </c>
      <c r="C434" s="2"/>
      <c r="D434" s="2" t="s">
        <v>16</v>
      </c>
      <c r="E434" s="4">
        <f>253.08*(1-Z1%)</f>
        <v>253.08</v>
      </c>
      <c r="F434" s="2">
        <v>33</v>
      </c>
      <c r="G434" s="2"/>
    </row>
    <row r="435" spans="1:26" customHeight="1" ht="36" hidden="true" outlineLevel="4">
      <c r="A435" s="2" t="s">
        <v>801</v>
      </c>
      <c r="B435" s="3" t="s">
        <v>802</v>
      </c>
      <c r="C435" s="2"/>
      <c r="D435" s="2" t="s">
        <v>16</v>
      </c>
      <c r="E435" s="4">
        <f>106.02*(1-Z1%)</f>
        <v>106.02</v>
      </c>
      <c r="F435" s="2">
        <v>17</v>
      </c>
      <c r="G435" s="2"/>
    </row>
    <row r="436" spans="1:26" customHeight="1" ht="36" hidden="true" outlineLevel="4">
      <c r="A436" s="2" t="s">
        <v>803</v>
      </c>
      <c r="B436" s="3" t="s">
        <v>804</v>
      </c>
      <c r="C436" s="2"/>
      <c r="D436" s="2" t="s">
        <v>16</v>
      </c>
      <c r="E436" s="4">
        <f>122.27*(1-Z1%)</f>
        <v>122.27</v>
      </c>
      <c r="F436" s="2">
        <v>6</v>
      </c>
      <c r="G436" s="2"/>
    </row>
    <row r="437" spans="1:26" customHeight="1" ht="18" hidden="true" outlineLevel="4">
      <c r="A437" s="2" t="s">
        <v>805</v>
      </c>
      <c r="B437" s="3" t="s">
        <v>806</v>
      </c>
      <c r="C437" s="2"/>
      <c r="D437" s="2" t="s">
        <v>16</v>
      </c>
      <c r="E437" s="4">
        <f>259.92*(1-Z1%)</f>
        <v>259.92</v>
      </c>
      <c r="F437" s="2">
        <v>6</v>
      </c>
      <c r="G437" s="2"/>
    </row>
    <row r="438" spans="1:26" customHeight="1" ht="18" hidden="true" outlineLevel="4">
      <c r="A438" s="2" t="s">
        <v>807</v>
      </c>
      <c r="B438" s="3" t="s">
        <v>808</v>
      </c>
      <c r="C438" s="2"/>
      <c r="D438" s="2" t="s">
        <v>16</v>
      </c>
      <c r="E438" s="4">
        <f>263.34*(1-Z1%)</f>
        <v>263.34</v>
      </c>
      <c r="F438" s="2">
        <v>8</v>
      </c>
      <c r="G438" s="2"/>
    </row>
    <row r="439" spans="1:26" customHeight="1" ht="18" hidden="true" outlineLevel="4">
      <c r="A439" s="2" t="s">
        <v>809</v>
      </c>
      <c r="B439" s="3" t="s">
        <v>810</v>
      </c>
      <c r="C439" s="2"/>
      <c r="D439" s="2" t="s">
        <v>16</v>
      </c>
      <c r="E439" s="4">
        <f>100.04*(1-Z1%)</f>
        <v>100.04</v>
      </c>
      <c r="F439" s="2">
        <v>35</v>
      </c>
      <c r="G439" s="2"/>
    </row>
    <row r="440" spans="1:26" customHeight="1" ht="18" hidden="true" outlineLevel="4">
      <c r="A440" s="2" t="s">
        <v>811</v>
      </c>
      <c r="B440" s="3" t="s">
        <v>812</v>
      </c>
      <c r="C440" s="2"/>
      <c r="D440" s="2" t="s">
        <v>16</v>
      </c>
      <c r="E440" s="4">
        <f>100.89*(1-Z1%)</f>
        <v>100.89</v>
      </c>
      <c r="F440" s="2">
        <v>20</v>
      </c>
      <c r="G440" s="2"/>
    </row>
    <row r="441" spans="1:26" customHeight="1" ht="18" hidden="true" outlineLevel="4">
      <c r="A441" s="2" t="s">
        <v>813</v>
      </c>
      <c r="B441" s="3" t="s">
        <v>814</v>
      </c>
      <c r="C441" s="2"/>
      <c r="D441" s="2" t="s">
        <v>16</v>
      </c>
      <c r="E441" s="4">
        <f>129.96*(1-Z1%)</f>
        <v>129.96</v>
      </c>
      <c r="F441" s="2">
        <v>31</v>
      </c>
      <c r="G441" s="2"/>
    </row>
    <row r="442" spans="1:26" customHeight="1" ht="18" hidden="true" outlineLevel="4">
      <c r="A442" s="2" t="s">
        <v>815</v>
      </c>
      <c r="B442" s="3" t="s">
        <v>816</v>
      </c>
      <c r="C442" s="2"/>
      <c r="D442" s="2" t="s">
        <v>16</v>
      </c>
      <c r="E442" s="4">
        <f>99.18*(1-Z1%)</f>
        <v>99.18</v>
      </c>
      <c r="F442" s="2">
        <v>16</v>
      </c>
      <c r="G442" s="2"/>
    </row>
    <row r="443" spans="1:26" customHeight="1" ht="18" hidden="true" outlineLevel="4">
      <c r="A443" s="2" t="s">
        <v>817</v>
      </c>
      <c r="B443" s="3" t="s">
        <v>818</v>
      </c>
      <c r="C443" s="2"/>
      <c r="D443" s="2" t="s">
        <v>16</v>
      </c>
      <c r="E443" s="4">
        <f>171.86*(1-Z1%)</f>
        <v>171.86</v>
      </c>
      <c r="F443" s="2">
        <v>10</v>
      </c>
      <c r="G443" s="2"/>
    </row>
    <row r="444" spans="1:26" customHeight="1" ht="18" hidden="true" outlineLevel="4">
      <c r="A444" s="2" t="s">
        <v>819</v>
      </c>
      <c r="B444" s="3" t="s">
        <v>820</v>
      </c>
      <c r="C444" s="2"/>
      <c r="D444" s="2" t="s">
        <v>16</v>
      </c>
      <c r="E444" s="4">
        <f>194.94*(1-Z1%)</f>
        <v>194.94</v>
      </c>
      <c r="F444" s="2">
        <v>16</v>
      </c>
      <c r="G444" s="2"/>
    </row>
    <row r="445" spans="1:26" customHeight="1" ht="18" hidden="true" outlineLevel="4">
      <c r="A445" s="2" t="s">
        <v>821</v>
      </c>
      <c r="B445" s="3" t="s">
        <v>822</v>
      </c>
      <c r="C445" s="2"/>
      <c r="D445" s="2" t="s">
        <v>16</v>
      </c>
      <c r="E445" s="4">
        <f>363.38*(1-Z1%)</f>
        <v>363.38</v>
      </c>
      <c r="F445" s="2">
        <v>69</v>
      </c>
      <c r="G445" s="2"/>
    </row>
    <row r="446" spans="1:26" customHeight="1" ht="18" hidden="true" outlineLevel="4">
      <c r="A446" s="2" t="s">
        <v>823</v>
      </c>
      <c r="B446" s="3" t="s">
        <v>824</v>
      </c>
      <c r="C446" s="2"/>
      <c r="D446" s="2" t="s">
        <v>16</v>
      </c>
      <c r="E446" s="4">
        <f>336.87*(1-Z1%)</f>
        <v>336.87</v>
      </c>
      <c r="F446" s="2">
        <v>31</v>
      </c>
      <c r="G446" s="2"/>
    </row>
    <row r="447" spans="1:26" customHeight="1" ht="18" hidden="true" outlineLevel="4">
      <c r="A447" s="2" t="s">
        <v>825</v>
      </c>
      <c r="B447" s="3" t="s">
        <v>826</v>
      </c>
      <c r="C447" s="2"/>
      <c r="D447" s="2" t="s">
        <v>16</v>
      </c>
      <c r="E447" s="4">
        <f>111.15*(1-Z1%)</f>
        <v>111.15</v>
      </c>
      <c r="F447" s="2">
        <v>20</v>
      </c>
      <c r="G447" s="2"/>
    </row>
    <row r="448" spans="1:26" customHeight="1" ht="18" hidden="true" outlineLevel="4">
      <c r="A448" s="2" t="s">
        <v>827</v>
      </c>
      <c r="B448" s="3" t="s">
        <v>828</v>
      </c>
      <c r="C448" s="2"/>
      <c r="D448" s="2" t="s">
        <v>16</v>
      </c>
      <c r="E448" s="4">
        <f>259.92*(1-Z1%)</f>
        <v>259.92</v>
      </c>
      <c r="F448" s="2">
        <v>28</v>
      </c>
      <c r="G448" s="2"/>
    </row>
    <row r="449" spans="1:26" customHeight="1" ht="18" hidden="true" outlineLevel="4">
      <c r="A449" s="2" t="s">
        <v>829</v>
      </c>
      <c r="B449" s="3" t="s">
        <v>830</v>
      </c>
      <c r="C449" s="2"/>
      <c r="D449" s="2" t="s">
        <v>16</v>
      </c>
      <c r="E449" s="4">
        <f>449.73*(1-Z1%)</f>
        <v>449.73</v>
      </c>
      <c r="F449" s="2">
        <v>54</v>
      </c>
      <c r="G449" s="2"/>
    </row>
    <row r="450" spans="1:26" customHeight="1" ht="18" hidden="true" outlineLevel="4">
      <c r="A450" s="2" t="s">
        <v>831</v>
      </c>
      <c r="B450" s="3" t="s">
        <v>832</v>
      </c>
      <c r="C450" s="2"/>
      <c r="D450" s="2" t="s">
        <v>16</v>
      </c>
      <c r="E450" s="4">
        <f>177.84*(1-Z1%)</f>
        <v>177.84</v>
      </c>
      <c r="F450" s="2">
        <v>16</v>
      </c>
      <c r="G450" s="2"/>
    </row>
    <row r="451" spans="1:26" customHeight="1" ht="18" hidden="true" outlineLevel="4">
      <c r="A451" s="2" t="s">
        <v>833</v>
      </c>
      <c r="B451" s="3" t="s">
        <v>834</v>
      </c>
      <c r="C451" s="2"/>
      <c r="D451" s="2" t="s">
        <v>16</v>
      </c>
      <c r="E451" s="4">
        <f>265.05*(1-Z1%)</f>
        <v>265.05</v>
      </c>
      <c r="F451" s="2">
        <v>3</v>
      </c>
      <c r="G451" s="2"/>
    </row>
    <row r="452" spans="1:26" customHeight="1" ht="18" hidden="true" outlineLevel="4">
      <c r="A452" s="2" t="s">
        <v>835</v>
      </c>
      <c r="B452" s="3" t="s">
        <v>836</v>
      </c>
      <c r="C452" s="2"/>
      <c r="D452" s="2" t="s">
        <v>16</v>
      </c>
      <c r="E452" s="4">
        <f>259.92*(1-Z1%)</f>
        <v>259.92</v>
      </c>
      <c r="F452" s="2">
        <v>8</v>
      </c>
      <c r="G452" s="2"/>
    </row>
    <row r="453" spans="1:26" customHeight="1" ht="18" hidden="true" outlineLevel="4">
      <c r="A453" s="2" t="s">
        <v>837</v>
      </c>
      <c r="B453" s="3" t="s">
        <v>838</v>
      </c>
      <c r="C453" s="2"/>
      <c r="D453" s="2" t="s">
        <v>16</v>
      </c>
      <c r="E453" s="4">
        <f>191.90*(1-Z1%)</f>
        <v>191.9</v>
      </c>
      <c r="F453" s="2">
        <v>3</v>
      </c>
      <c r="G453" s="2"/>
    </row>
    <row r="454" spans="1:26" customHeight="1" ht="36" hidden="true" outlineLevel="4">
      <c r="A454" s="2" t="s">
        <v>839</v>
      </c>
      <c r="B454" s="3" t="s">
        <v>840</v>
      </c>
      <c r="C454" s="2"/>
      <c r="D454" s="2" t="s">
        <v>16</v>
      </c>
      <c r="E454" s="4">
        <f>343.41*(1-Z1%)</f>
        <v>343.41</v>
      </c>
      <c r="F454" s="2">
        <v>2</v>
      </c>
      <c r="G454" s="2"/>
    </row>
    <row r="455" spans="1:26" customHeight="1" ht="18" hidden="true" outlineLevel="4">
      <c r="A455" s="2" t="s">
        <v>841</v>
      </c>
      <c r="B455" s="3" t="s">
        <v>842</v>
      </c>
      <c r="C455" s="2"/>
      <c r="D455" s="2" t="s">
        <v>16</v>
      </c>
      <c r="E455" s="4">
        <f>414.41*(1-Z1%)</f>
        <v>414.41</v>
      </c>
      <c r="F455" s="2">
        <v>5</v>
      </c>
      <c r="G455" s="2"/>
    </row>
    <row r="456" spans="1:26" customHeight="1" ht="36" hidden="true" outlineLevel="4">
      <c r="A456" s="2" t="s">
        <v>843</v>
      </c>
      <c r="B456" s="3" t="s">
        <v>844</v>
      </c>
      <c r="C456" s="2"/>
      <c r="D456" s="2" t="s">
        <v>16</v>
      </c>
      <c r="E456" s="4">
        <f>246.38*(1-Z1%)</f>
        <v>246.38</v>
      </c>
      <c r="F456" s="2">
        <v>1</v>
      </c>
      <c r="G456" s="2"/>
    </row>
    <row r="457" spans="1:26" customHeight="1" ht="36" hidden="true" outlineLevel="4">
      <c r="A457" s="2" t="s">
        <v>845</v>
      </c>
      <c r="B457" s="3" t="s">
        <v>846</v>
      </c>
      <c r="C457" s="2"/>
      <c r="D457" s="2" t="s">
        <v>16</v>
      </c>
      <c r="E457" s="4">
        <f>214.28*(1-Z1%)</f>
        <v>214.28</v>
      </c>
      <c r="F457" s="2">
        <v>1</v>
      </c>
      <c r="G457" s="2"/>
    </row>
    <row r="458" spans="1:26" customHeight="1" ht="18" hidden="true" outlineLevel="4">
      <c r="A458" s="2" t="s">
        <v>847</v>
      </c>
      <c r="B458" s="3" t="s">
        <v>848</v>
      </c>
      <c r="C458" s="2"/>
      <c r="D458" s="2" t="s">
        <v>16</v>
      </c>
      <c r="E458" s="4">
        <f>191.45*(1-Z1%)</f>
        <v>191.45</v>
      </c>
      <c r="F458" s="2">
        <v>6</v>
      </c>
      <c r="G458" s="2"/>
    </row>
    <row r="459" spans="1:26" customHeight="1" ht="18" hidden="true" outlineLevel="4">
      <c r="A459" s="2" t="s">
        <v>849</v>
      </c>
      <c r="B459" s="3" t="s">
        <v>850</v>
      </c>
      <c r="C459" s="2"/>
      <c r="D459" s="2" t="s">
        <v>16</v>
      </c>
      <c r="E459" s="4">
        <f>220.36*(1-Z1%)</f>
        <v>220.36</v>
      </c>
      <c r="F459" s="2">
        <v>3</v>
      </c>
      <c r="G459" s="2"/>
    </row>
    <row r="460" spans="1:26" customHeight="1" ht="18" hidden="true" outlineLevel="4">
      <c r="A460" s="2" t="s">
        <v>851</v>
      </c>
      <c r="B460" s="3" t="s">
        <v>852</v>
      </c>
      <c r="C460" s="2"/>
      <c r="D460" s="2" t="s">
        <v>16</v>
      </c>
      <c r="E460" s="4">
        <f>203.87*(1-Z1%)</f>
        <v>203.87</v>
      </c>
      <c r="F460" s="2">
        <v>10</v>
      </c>
      <c r="G460" s="2"/>
    </row>
    <row r="461" spans="1:26" customHeight="1" ht="18" hidden="true" outlineLevel="4">
      <c r="A461" s="2" t="s">
        <v>853</v>
      </c>
      <c r="B461" s="3" t="s">
        <v>854</v>
      </c>
      <c r="C461" s="2"/>
      <c r="D461" s="2" t="s">
        <v>16</v>
      </c>
      <c r="E461" s="4">
        <f>279.67*(1-Z1%)</f>
        <v>279.67</v>
      </c>
      <c r="F461" s="2">
        <v>1</v>
      </c>
      <c r="G461" s="2"/>
    </row>
    <row r="462" spans="1:26" customHeight="1" ht="36" hidden="true" outlineLevel="4">
      <c r="A462" s="2" t="s">
        <v>855</v>
      </c>
      <c r="B462" s="3" t="s">
        <v>856</v>
      </c>
      <c r="C462" s="2"/>
      <c r="D462" s="2" t="s">
        <v>16</v>
      </c>
      <c r="E462" s="4">
        <f>344.93*(1-Z1%)</f>
        <v>344.93</v>
      </c>
      <c r="F462" s="2">
        <v>3</v>
      </c>
      <c r="G462" s="2"/>
    </row>
    <row r="463" spans="1:26" customHeight="1" ht="36" hidden="true" outlineLevel="4">
      <c r="A463" s="2" t="s">
        <v>857</v>
      </c>
      <c r="B463" s="3" t="s">
        <v>858</v>
      </c>
      <c r="C463" s="2"/>
      <c r="D463" s="2" t="s">
        <v>16</v>
      </c>
      <c r="E463" s="4">
        <f>309.87*(1-Z1%)</f>
        <v>309.87</v>
      </c>
      <c r="F463" s="2">
        <v>2</v>
      </c>
      <c r="G463" s="2"/>
    </row>
    <row r="464" spans="1:26" customHeight="1" ht="18" hidden="true" outlineLevel="4">
      <c r="A464" s="2" t="s">
        <v>859</v>
      </c>
      <c r="B464" s="3" t="s">
        <v>860</v>
      </c>
      <c r="C464" s="2"/>
      <c r="D464" s="2" t="s">
        <v>16</v>
      </c>
      <c r="E464" s="4">
        <f>456.18*(1-Z1%)</f>
        <v>456.18</v>
      </c>
      <c r="F464" s="2">
        <v>2</v>
      </c>
      <c r="G464" s="2"/>
    </row>
    <row r="465" spans="1:26" customHeight="1" ht="36" hidden="true" outlineLevel="4">
      <c r="A465" s="2" t="s">
        <v>861</v>
      </c>
      <c r="B465" s="3" t="s">
        <v>862</v>
      </c>
      <c r="C465" s="2"/>
      <c r="D465" s="2" t="s">
        <v>16</v>
      </c>
      <c r="E465" s="4">
        <f>204.07*(1-Z1%)</f>
        <v>204.07</v>
      </c>
      <c r="F465" s="2">
        <v>4</v>
      </c>
      <c r="G465" s="2"/>
    </row>
    <row r="466" spans="1:26" customHeight="1" ht="18" hidden="true" outlineLevel="4">
      <c r="A466" s="2" t="s">
        <v>863</v>
      </c>
      <c r="B466" s="3" t="s">
        <v>864</v>
      </c>
      <c r="C466" s="2"/>
      <c r="D466" s="2" t="s">
        <v>16</v>
      </c>
      <c r="E466" s="4">
        <f>136.49*(1-Z1%)</f>
        <v>136.49</v>
      </c>
      <c r="F466" s="2">
        <v>1</v>
      </c>
      <c r="G466" s="2"/>
    </row>
    <row r="467" spans="1:26" customHeight="1" ht="18" hidden="true" outlineLevel="4">
      <c r="A467" s="2" t="s">
        <v>865</v>
      </c>
      <c r="B467" s="3" t="s">
        <v>866</v>
      </c>
      <c r="C467" s="2"/>
      <c r="D467" s="2" t="s">
        <v>16</v>
      </c>
      <c r="E467" s="4">
        <f>260.28*(1-Z1%)</f>
        <v>260.28</v>
      </c>
      <c r="F467" s="2">
        <v>1</v>
      </c>
      <c r="G467" s="2"/>
    </row>
    <row r="468" spans="1:26" customHeight="1" ht="18" hidden="true" outlineLevel="4">
      <c r="A468" s="2" t="s">
        <v>867</v>
      </c>
      <c r="B468" s="3" t="s">
        <v>868</v>
      </c>
      <c r="C468" s="2"/>
      <c r="D468" s="2" t="s">
        <v>16</v>
      </c>
      <c r="E468" s="4">
        <f>294.06*(1-Z1%)</f>
        <v>294.06</v>
      </c>
      <c r="F468" s="2">
        <v>2</v>
      </c>
      <c r="G468" s="2"/>
    </row>
    <row r="469" spans="1:26" customHeight="1" ht="18" hidden="true" outlineLevel="4">
      <c r="A469" s="2" t="s">
        <v>869</v>
      </c>
      <c r="B469" s="3" t="s">
        <v>870</v>
      </c>
      <c r="C469" s="2"/>
      <c r="D469" s="2" t="s">
        <v>16</v>
      </c>
      <c r="E469" s="4">
        <f>472.02*(1-Z1%)</f>
        <v>472.02</v>
      </c>
      <c r="F469" s="2">
        <v>2</v>
      </c>
      <c r="G469" s="2"/>
    </row>
    <row r="470" spans="1:26" customHeight="1" ht="18" hidden="true" outlineLevel="4">
      <c r="A470" s="2" t="s">
        <v>871</v>
      </c>
      <c r="B470" s="3" t="s">
        <v>872</v>
      </c>
      <c r="C470" s="2"/>
      <c r="D470" s="2" t="s">
        <v>16</v>
      </c>
      <c r="E470" s="4">
        <f>293.57*(1-Z1%)</f>
        <v>293.57</v>
      </c>
      <c r="F470" s="2">
        <v>3</v>
      </c>
      <c r="G470" s="2"/>
    </row>
    <row r="471" spans="1:26" customHeight="1" ht="18" hidden="true" outlineLevel="4">
      <c r="A471" s="2" t="s">
        <v>873</v>
      </c>
      <c r="B471" s="3" t="s">
        <v>874</v>
      </c>
      <c r="C471" s="2"/>
      <c r="D471" s="2" t="s">
        <v>16</v>
      </c>
      <c r="E471" s="4">
        <f>299.26*(1-Z1%)</f>
        <v>299.26</v>
      </c>
      <c r="F471" s="2">
        <v>4</v>
      </c>
      <c r="G471" s="2"/>
    </row>
    <row r="472" spans="1:26" customHeight="1" ht="36" hidden="true" outlineLevel="4">
      <c r="A472" s="2" t="s">
        <v>875</v>
      </c>
      <c r="B472" s="3" t="s">
        <v>876</v>
      </c>
      <c r="C472" s="2"/>
      <c r="D472" s="2" t="s">
        <v>16</v>
      </c>
      <c r="E472" s="4">
        <f>384.62*(1-Z1%)</f>
        <v>384.62</v>
      </c>
      <c r="F472" s="2">
        <v>1</v>
      </c>
      <c r="G472" s="2"/>
    </row>
    <row r="473" spans="1:26" customHeight="1" ht="35" hidden="true" outlineLevel="4">
      <c r="A473" s="5" t="s">
        <v>877</v>
      </c>
      <c r="B473" s="5"/>
      <c r="C473" s="5"/>
      <c r="D473" s="5"/>
      <c r="E473" s="5"/>
      <c r="F473" s="5"/>
      <c r="G473" s="5"/>
    </row>
    <row r="474" spans="1:26" customHeight="1" ht="18" hidden="true" outlineLevel="4">
      <c r="A474" s="2" t="s">
        <v>878</v>
      </c>
      <c r="B474" s="3" t="s">
        <v>879</v>
      </c>
      <c r="C474" s="2"/>
      <c r="D474" s="2" t="s">
        <v>16</v>
      </c>
      <c r="E474" s="4">
        <f>43.61*(1-Z1%)</f>
        <v>43.61</v>
      </c>
      <c r="F474" s="2">
        <v>70</v>
      </c>
      <c r="G474" s="2"/>
    </row>
    <row r="475" spans="1:26" customHeight="1" ht="18" hidden="true" outlineLevel="4">
      <c r="A475" s="2" t="s">
        <v>880</v>
      </c>
      <c r="B475" s="3" t="s">
        <v>881</v>
      </c>
      <c r="C475" s="2"/>
      <c r="D475" s="2" t="s">
        <v>16</v>
      </c>
      <c r="E475" s="4">
        <f>25.88*(1-Z1%)</f>
        <v>25.88</v>
      </c>
      <c r="F475" s="2">
        <v>35</v>
      </c>
      <c r="G475" s="2"/>
    </row>
    <row r="476" spans="1:26" customHeight="1" ht="35" hidden="true" outlineLevel="4">
      <c r="A476" s="5" t="s">
        <v>882</v>
      </c>
      <c r="B476" s="5"/>
      <c r="C476" s="5"/>
      <c r="D476" s="5"/>
      <c r="E476" s="5"/>
      <c r="F476" s="5"/>
      <c r="G476" s="5"/>
    </row>
    <row r="477" spans="1:26" customHeight="1" ht="18" hidden="true" outlineLevel="4">
      <c r="A477" s="2" t="s">
        <v>883</v>
      </c>
      <c r="B477" s="3" t="s">
        <v>884</v>
      </c>
      <c r="C477" s="2"/>
      <c r="D477" s="2" t="s">
        <v>16</v>
      </c>
      <c r="E477" s="4">
        <f>276.86*(1-Z1%)</f>
        <v>276.86</v>
      </c>
      <c r="F477" s="2">
        <v>5</v>
      </c>
      <c r="G477" s="2"/>
    </row>
    <row r="478" spans="1:26" customHeight="1" ht="18" hidden="true" outlineLevel="4">
      <c r="A478" s="2" t="s">
        <v>885</v>
      </c>
      <c r="B478" s="3" t="s">
        <v>886</v>
      </c>
      <c r="C478" s="2"/>
      <c r="D478" s="2" t="s">
        <v>16</v>
      </c>
      <c r="E478" s="4">
        <f>281.08*(1-Z1%)</f>
        <v>281.08</v>
      </c>
      <c r="F478" s="2">
        <v>11</v>
      </c>
      <c r="G478" s="2"/>
    </row>
    <row r="479" spans="1:26" customHeight="1" ht="18" hidden="true" outlineLevel="4">
      <c r="A479" s="2" t="s">
        <v>887</v>
      </c>
      <c r="B479" s="3" t="s">
        <v>888</v>
      </c>
      <c r="C479" s="2"/>
      <c r="D479" s="2" t="s">
        <v>16</v>
      </c>
      <c r="E479" s="4">
        <f>249.08*(1-Z1%)</f>
        <v>249.08</v>
      </c>
      <c r="F479" s="2">
        <v>5</v>
      </c>
      <c r="G479" s="2"/>
    </row>
    <row r="480" spans="1:26" customHeight="1" ht="18" hidden="true" outlineLevel="4">
      <c r="A480" s="2" t="s">
        <v>889</v>
      </c>
      <c r="B480" s="3" t="s">
        <v>890</v>
      </c>
      <c r="C480" s="2"/>
      <c r="D480" s="2" t="s">
        <v>16</v>
      </c>
      <c r="E480" s="4">
        <f>345.20*(1-Z1%)</f>
        <v>345.2</v>
      </c>
      <c r="F480" s="2">
        <v>6</v>
      </c>
      <c r="G480" s="2"/>
    </row>
    <row r="481" spans="1:26" customHeight="1" ht="18" hidden="true" outlineLevel="4">
      <c r="A481" s="2" t="s">
        <v>891</v>
      </c>
      <c r="B481" s="3" t="s">
        <v>892</v>
      </c>
      <c r="C481" s="2"/>
      <c r="D481" s="2" t="s">
        <v>16</v>
      </c>
      <c r="E481" s="4">
        <f>353.37*(1-Z1%)</f>
        <v>353.37</v>
      </c>
      <c r="F481" s="2">
        <v>4</v>
      </c>
      <c r="G481" s="2"/>
    </row>
    <row r="482" spans="1:26" customHeight="1" ht="36" hidden="true" outlineLevel="4">
      <c r="A482" s="2" t="s">
        <v>893</v>
      </c>
      <c r="B482" s="3" t="s">
        <v>894</v>
      </c>
      <c r="C482" s="2"/>
      <c r="D482" s="2" t="s">
        <v>16</v>
      </c>
      <c r="E482" s="4">
        <f>336.19*(1-Z1%)</f>
        <v>336.19</v>
      </c>
      <c r="F482" s="2">
        <v>5</v>
      </c>
      <c r="G482" s="2"/>
    </row>
    <row r="483" spans="1:26" customHeight="1" ht="36" hidden="true" outlineLevel="4">
      <c r="A483" s="2" t="s">
        <v>895</v>
      </c>
      <c r="B483" s="3" t="s">
        <v>896</v>
      </c>
      <c r="C483" s="2"/>
      <c r="D483" s="2" t="s">
        <v>16</v>
      </c>
      <c r="E483" s="4">
        <f>424.07*(1-Z1%)</f>
        <v>424.07</v>
      </c>
      <c r="F483" s="2">
        <v>2</v>
      </c>
      <c r="G483" s="2"/>
    </row>
    <row r="484" spans="1:26" customHeight="1" ht="18" hidden="true" outlineLevel="4">
      <c r="A484" s="2" t="s">
        <v>897</v>
      </c>
      <c r="B484" s="3" t="s">
        <v>898</v>
      </c>
      <c r="C484" s="2"/>
      <c r="D484" s="2" t="s">
        <v>16</v>
      </c>
      <c r="E484" s="4">
        <f>177.84*(1-Z1%)</f>
        <v>177.84</v>
      </c>
      <c r="F484" s="2">
        <v>12</v>
      </c>
      <c r="G484" s="2"/>
    </row>
    <row r="485" spans="1:26" customHeight="1" ht="18" hidden="true" outlineLevel="4">
      <c r="A485" s="2" t="s">
        <v>899</v>
      </c>
      <c r="B485" s="3" t="s">
        <v>900</v>
      </c>
      <c r="C485" s="2"/>
      <c r="D485" s="2" t="s">
        <v>16</v>
      </c>
      <c r="E485" s="4">
        <f>586.12*(1-Z1%)</f>
        <v>586.12</v>
      </c>
      <c r="F485" s="2">
        <v>2</v>
      </c>
      <c r="G485" s="2"/>
    </row>
    <row r="486" spans="1:26" customHeight="1" ht="18" hidden="true" outlineLevel="4">
      <c r="A486" s="2" t="s">
        <v>901</v>
      </c>
      <c r="B486" s="3" t="s">
        <v>902</v>
      </c>
      <c r="C486" s="2"/>
      <c r="D486" s="2" t="s">
        <v>16</v>
      </c>
      <c r="E486" s="4">
        <f>338.32*(1-Z1%)</f>
        <v>338.32</v>
      </c>
      <c r="F486" s="2">
        <v>2</v>
      </c>
      <c r="G486" s="2"/>
    </row>
    <row r="487" spans="1:26" customHeight="1" ht="35" hidden="true" outlineLevel="4">
      <c r="A487" s="5" t="s">
        <v>903</v>
      </c>
      <c r="B487" s="5"/>
      <c r="C487" s="5"/>
      <c r="D487" s="5"/>
      <c r="E487" s="5"/>
      <c r="F487" s="5"/>
      <c r="G487" s="5"/>
    </row>
    <row r="488" spans="1:26" customHeight="1" ht="54" hidden="true" outlineLevel="4">
      <c r="A488" s="2" t="s">
        <v>904</v>
      </c>
      <c r="B488" s="3" t="s">
        <v>905</v>
      </c>
      <c r="C488" s="2"/>
      <c r="D488" s="2" t="s">
        <v>16</v>
      </c>
      <c r="E488" s="4">
        <f>304.68*(1-Z1%)</f>
        <v>304.68</v>
      </c>
      <c r="F488" s="2">
        <v>2</v>
      </c>
      <c r="G488" s="2"/>
    </row>
    <row r="489" spans="1:26" customHeight="1" ht="18" hidden="true" outlineLevel="4">
      <c r="A489" s="2" t="s">
        <v>906</v>
      </c>
      <c r="B489" s="3" t="s">
        <v>907</v>
      </c>
      <c r="C489" s="2"/>
      <c r="D489" s="2" t="s">
        <v>16</v>
      </c>
      <c r="E489" s="4">
        <f>16.97*(1-Z1%)</f>
        <v>16.97</v>
      </c>
      <c r="F489" s="2">
        <v>2</v>
      </c>
      <c r="G489" s="2"/>
    </row>
    <row r="490" spans="1:26" customHeight="1" ht="18" hidden="true" outlineLevel="4">
      <c r="A490" s="2" t="s">
        <v>908</v>
      </c>
      <c r="B490" s="3" t="s">
        <v>909</v>
      </c>
      <c r="C490" s="2"/>
      <c r="D490" s="2" t="s">
        <v>16</v>
      </c>
      <c r="E490" s="4">
        <f>74.88*(1-Z1%)</f>
        <v>74.88</v>
      </c>
      <c r="F490" s="2">
        <v>1</v>
      </c>
      <c r="G490" s="2"/>
    </row>
    <row r="491" spans="1:26" customHeight="1" ht="18" hidden="true" outlineLevel="4">
      <c r="A491" s="2" t="s">
        <v>910</v>
      </c>
      <c r="B491" s="3" t="s">
        <v>911</v>
      </c>
      <c r="C491" s="2"/>
      <c r="D491" s="2" t="s">
        <v>16</v>
      </c>
      <c r="E491" s="4">
        <f>209.48*(1-Z1%)</f>
        <v>209.48</v>
      </c>
      <c r="F491" s="2">
        <v>3</v>
      </c>
      <c r="G491" s="2"/>
    </row>
    <row r="492" spans="1:26" customHeight="1" ht="18" hidden="true" outlineLevel="4">
      <c r="A492" s="2" t="s">
        <v>912</v>
      </c>
      <c r="B492" s="3" t="s">
        <v>913</v>
      </c>
      <c r="C492" s="2"/>
      <c r="D492" s="2" t="s">
        <v>16</v>
      </c>
      <c r="E492" s="4">
        <f>421.20*(1-Z1%)</f>
        <v>421.2</v>
      </c>
      <c r="F492" s="2">
        <v>7</v>
      </c>
      <c r="G492" s="2"/>
    </row>
    <row r="493" spans="1:26" customHeight="1" ht="18" hidden="true" outlineLevel="4">
      <c r="A493" s="2" t="s">
        <v>914</v>
      </c>
      <c r="B493" s="3" t="s">
        <v>915</v>
      </c>
      <c r="C493" s="2"/>
      <c r="D493" s="2" t="s">
        <v>16</v>
      </c>
      <c r="E493" s="4">
        <f>312.87*(1-Z1%)</f>
        <v>312.87</v>
      </c>
      <c r="F493" s="2">
        <v>5</v>
      </c>
      <c r="G493" s="2"/>
    </row>
    <row r="494" spans="1:26" customHeight="1" ht="36" hidden="true" outlineLevel="4">
      <c r="A494" s="2" t="s">
        <v>916</v>
      </c>
      <c r="B494" s="3" t="s">
        <v>917</v>
      </c>
      <c r="C494" s="2"/>
      <c r="D494" s="2" t="s">
        <v>16</v>
      </c>
      <c r="E494" s="4">
        <f>342.23*(1-Z1%)</f>
        <v>342.23</v>
      </c>
      <c r="F494" s="2">
        <v>4</v>
      </c>
      <c r="G494" s="2"/>
    </row>
    <row r="495" spans="1:26" customHeight="1" ht="18" hidden="true" outlineLevel="4">
      <c r="A495" s="2" t="s">
        <v>918</v>
      </c>
      <c r="B495" s="3" t="s">
        <v>919</v>
      </c>
      <c r="C495" s="2"/>
      <c r="D495" s="2" t="s">
        <v>16</v>
      </c>
      <c r="E495" s="4">
        <f>573.08*(1-Z1%)</f>
        <v>573.08</v>
      </c>
      <c r="F495" s="2">
        <v>4</v>
      </c>
      <c r="G495" s="2"/>
    </row>
    <row r="496" spans="1:26" customHeight="1" ht="18" hidden="true" outlineLevel="4">
      <c r="A496" s="2" t="s">
        <v>920</v>
      </c>
      <c r="B496" s="3" t="s">
        <v>921</v>
      </c>
      <c r="C496" s="2"/>
      <c r="D496" s="2" t="s">
        <v>16</v>
      </c>
      <c r="E496" s="4">
        <f>315.05*(1-Z1%)</f>
        <v>315.05</v>
      </c>
      <c r="F496" s="2">
        <v>1</v>
      </c>
      <c r="G496" s="2"/>
    </row>
    <row r="497" spans="1:26" customHeight="1" ht="18" hidden="true" outlineLevel="4">
      <c r="A497" s="2" t="s">
        <v>922</v>
      </c>
      <c r="B497" s="3" t="s">
        <v>923</v>
      </c>
      <c r="C497" s="2"/>
      <c r="D497" s="2" t="s">
        <v>16</v>
      </c>
      <c r="E497" s="4">
        <f>238.00*(1-Z1%)</f>
        <v>238</v>
      </c>
      <c r="F497" s="2">
        <v>4</v>
      </c>
      <c r="G497" s="2"/>
    </row>
    <row r="498" spans="1:26" customHeight="1" ht="18" hidden="true" outlineLevel="4">
      <c r="A498" s="2" t="s">
        <v>924</v>
      </c>
      <c r="B498" s="3" t="s">
        <v>925</v>
      </c>
      <c r="C498" s="2"/>
      <c r="D498" s="2" t="s">
        <v>16</v>
      </c>
      <c r="E498" s="4">
        <f>218.33*(1-Z1%)</f>
        <v>218.33</v>
      </c>
      <c r="F498" s="2">
        <v>4</v>
      </c>
      <c r="G498" s="2"/>
    </row>
    <row r="499" spans="1:26" customHeight="1" ht="36" hidden="true" outlineLevel="4">
      <c r="A499" s="2" t="s">
        <v>926</v>
      </c>
      <c r="B499" s="3" t="s">
        <v>927</v>
      </c>
      <c r="C499" s="2"/>
      <c r="D499" s="2" t="s">
        <v>16</v>
      </c>
      <c r="E499" s="4">
        <f>257.65*(1-Z1%)</f>
        <v>257.65</v>
      </c>
      <c r="F499" s="2">
        <v>5</v>
      </c>
      <c r="G499" s="2"/>
    </row>
    <row r="500" spans="1:26" customHeight="1" ht="36" hidden="true" outlineLevel="4">
      <c r="A500" s="2" t="s">
        <v>928</v>
      </c>
      <c r="B500" s="3" t="s">
        <v>929</v>
      </c>
      <c r="C500" s="2"/>
      <c r="D500" s="2" t="s">
        <v>16</v>
      </c>
      <c r="E500" s="4">
        <f>245.71*(1-Z1%)</f>
        <v>245.71</v>
      </c>
      <c r="F500" s="2">
        <v>3</v>
      </c>
      <c r="G500" s="2"/>
    </row>
    <row r="501" spans="1:26" customHeight="1" ht="18" hidden="true" outlineLevel="4">
      <c r="A501" s="2" t="s">
        <v>930</v>
      </c>
      <c r="B501" s="3" t="s">
        <v>931</v>
      </c>
      <c r="C501" s="2"/>
      <c r="D501" s="2" t="s">
        <v>16</v>
      </c>
      <c r="E501" s="4">
        <f>303.69*(1-Z1%)</f>
        <v>303.69</v>
      </c>
      <c r="F501" s="2">
        <v>6</v>
      </c>
      <c r="G501" s="2"/>
    </row>
    <row r="502" spans="1:26" customHeight="1" ht="18" hidden="true" outlineLevel="4">
      <c r="A502" s="2" t="s">
        <v>932</v>
      </c>
      <c r="B502" s="3" t="s">
        <v>933</v>
      </c>
      <c r="C502" s="2"/>
      <c r="D502" s="2" t="s">
        <v>16</v>
      </c>
      <c r="E502" s="4">
        <f>234.78*(1-Z1%)</f>
        <v>234.78</v>
      </c>
      <c r="F502" s="2">
        <v>1</v>
      </c>
      <c r="G502" s="2"/>
    </row>
    <row r="503" spans="1:26" customHeight="1" ht="18" hidden="true" outlineLevel="4">
      <c r="A503" s="2" t="s">
        <v>934</v>
      </c>
      <c r="B503" s="3" t="s">
        <v>935</v>
      </c>
      <c r="C503" s="2"/>
      <c r="D503" s="2" t="s">
        <v>16</v>
      </c>
      <c r="E503" s="4">
        <f>275.11*(1-Z1%)</f>
        <v>275.11</v>
      </c>
      <c r="F503" s="2">
        <v>5</v>
      </c>
      <c r="G503" s="2"/>
    </row>
    <row r="504" spans="1:26" customHeight="1" ht="18" hidden="true" outlineLevel="4">
      <c r="A504" s="2" t="s">
        <v>936</v>
      </c>
      <c r="B504" s="3" t="s">
        <v>937</v>
      </c>
      <c r="C504" s="2"/>
      <c r="D504" s="2" t="s">
        <v>16</v>
      </c>
      <c r="E504" s="4">
        <f>275.31*(1-Z1%)</f>
        <v>275.31</v>
      </c>
      <c r="F504" s="2">
        <v>5</v>
      </c>
      <c r="G504" s="2"/>
    </row>
    <row r="505" spans="1:26" customHeight="1" ht="18" hidden="true" outlineLevel="4">
      <c r="A505" s="2" t="s">
        <v>938</v>
      </c>
      <c r="B505" s="3" t="s">
        <v>939</v>
      </c>
      <c r="C505" s="2"/>
      <c r="D505" s="2" t="s">
        <v>16</v>
      </c>
      <c r="E505" s="4">
        <f>439.50*(1-Z1%)</f>
        <v>439.5</v>
      </c>
      <c r="F505" s="2">
        <v>2</v>
      </c>
      <c r="G505" s="2"/>
    </row>
    <row r="506" spans="1:26" customHeight="1" ht="18" hidden="true" outlineLevel="4">
      <c r="A506" s="2" t="s">
        <v>940</v>
      </c>
      <c r="B506" s="3" t="s">
        <v>941</v>
      </c>
      <c r="C506" s="2"/>
      <c r="D506" s="2" t="s">
        <v>16</v>
      </c>
      <c r="E506" s="4">
        <f>179.55*(1-Z1%)</f>
        <v>179.55</v>
      </c>
      <c r="F506" s="2">
        <v>58</v>
      </c>
      <c r="G506" s="2"/>
    </row>
    <row r="507" spans="1:26" customHeight="1" ht="18" hidden="true" outlineLevel="4">
      <c r="A507" s="2" t="s">
        <v>942</v>
      </c>
      <c r="B507" s="3" t="s">
        <v>943</v>
      </c>
      <c r="C507" s="2"/>
      <c r="D507" s="2" t="s">
        <v>16</v>
      </c>
      <c r="E507" s="4">
        <f>135.95*(1-Z1%)</f>
        <v>135.95</v>
      </c>
      <c r="F507" s="2">
        <v>10</v>
      </c>
      <c r="G507" s="2"/>
    </row>
    <row r="508" spans="1:26" customHeight="1" ht="36" hidden="true" outlineLevel="4">
      <c r="A508" s="2" t="s">
        <v>944</v>
      </c>
      <c r="B508" s="3" t="s">
        <v>945</v>
      </c>
      <c r="C508" s="2"/>
      <c r="D508" s="2" t="s">
        <v>16</v>
      </c>
      <c r="E508" s="4">
        <f>273.93*(1-Z1%)</f>
        <v>273.93</v>
      </c>
      <c r="F508" s="2">
        <v>5</v>
      </c>
      <c r="G508" s="2"/>
    </row>
    <row r="509" spans="1:26" customHeight="1" ht="18" hidden="true" outlineLevel="4">
      <c r="A509" s="2" t="s">
        <v>946</v>
      </c>
      <c r="B509" s="3" t="s">
        <v>947</v>
      </c>
      <c r="C509" s="2"/>
      <c r="D509" s="2" t="s">
        <v>16</v>
      </c>
      <c r="E509" s="4">
        <f>355.29*(1-Z1%)</f>
        <v>355.29</v>
      </c>
      <c r="F509" s="2">
        <v>4</v>
      </c>
      <c r="G509" s="2"/>
    </row>
    <row r="510" spans="1:26" customHeight="1" ht="18" hidden="true" outlineLevel="4">
      <c r="A510" s="2" t="s">
        <v>948</v>
      </c>
      <c r="B510" s="3" t="s">
        <v>949</v>
      </c>
      <c r="C510" s="2"/>
      <c r="D510" s="2" t="s">
        <v>16</v>
      </c>
      <c r="E510" s="4">
        <f>412.10*(1-Z1%)</f>
        <v>412.1</v>
      </c>
      <c r="F510" s="2">
        <v>4</v>
      </c>
      <c r="G510" s="2"/>
    </row>
    <row r="511" spans="1:26" customHeight="1" ht="18" hidden="true" outlineLevel="4">
      <c r="A511" s="2" t="s">
        <v>950</v>
      </c>
      <c r="B511" s="3" t="s">
        <v>951</v>
      </c>
      <c r="C511" s="2"/>
      <c r="D511" s="2" t="s">
        <v>16</v>
      </c>
      <c r="E511" s="4">
        <f>386.65*(1-Z1%)</f>
        <v>386.65</v>
      </c>
      <c r="F511" s="2">
        <v>5</v>
      </c>
      <c r="G511" s="2"/>
    </row>
    <row r="512" spans="1:26" customHeight="1" ht="18" hidden="true" outlineLevel="4">
      <c r="A512" s="2" t="s">
        <v>952</v>
      </c>
      <c r="B512" s="3" t="s">
        <v>953</v>
      </c>
      <c r="C512" s="2"/>
      <c r="D512" s="2" t="s">
        <v>16</v>
      </c>
      <c r="E512" s="4">
        <f>425.21*(1-Z1%)</f>
        <v>425.21</v>
      </c>
      <c r="F512" s="2">
        <v>5</v>
      </c>
      <c r="G512" s="2"/>
    </row>
    <row r="513" spans="1:26" customHeight="1" ht="18" hidden="true" outlineLevel="4">
      <c r="A513" s="2" t="s">
        <v>954</v>
      </c>
      <c r="B513" s="3" t="s">
        <v>955</v>
      </c>
      <c r="C513" s="2"/>
      <c r="D513" s="2" t="s">
        <v>16</v>
      </c>
      <c r="E513" s="4">
        <f>298.74*(1-Z1%)</f>
        <v>298.74</v>
      </c>
      <c r="F513" s="2">
        <v>3</v>
      </c>
      <c r="G513" s="2"/>
    </row>
    <row r="514" spans="1:26" customHeight="1" ht="18" hidden="true" outlineLevel="4">
      <c r="A514" s="2" t="s">
        <v>956</v>
      </c>
      <c r="B514" s="3" t="s">
        <v>957</v>
      </c>
      <c r="C514" s="2"/>
      <c r="D514" s="2" t="s">
        <v>16</v>
      </c>
      <c r="E514" s="4">
        <f>397.17*(1-Z1%)</f>
        <v>397.17</v>
      </c>
      <c r="F514" s="2">
        <v>1</v>
      </c>
      <c r="G514" s="2"/>
    </row>
    <row r="515" spans="1:26" customHeight="1" ht="18" hidden="true" outlineLevel="4">
      <c r="A515" s="2" t="s">
        <v>958</v>
      </c>
      <c r="B515" s="3" t="s">
        <v>959</v>
      </c>
      <c r="C515" s="2"/>
      <c r="D515" s="2" t="s">
        <v>16</v>
      </c>
      <c r="E515" s="4">
        <f>314.45*(1-Z1%)</f>
        <v>314.45</v>
      </c>
      <c r="F515" s="2">
        <v>5</v>
      </c>
      <c r="G515" s="2"/>
    </row>
    <row r="516" spans="1:26" customHeight="1" ht="18" hidden="true" outlineLevel="4">
      <c r="A516" s="2" t="s">
        <v>960</v>
      </c>
      <c r="B516" s="3" t="s">
        <v>961</v>
      </c>
      <c r="C516" s="2"/>
      <c r="D516" s="2" t="s">
        <v>16</v>
      </c>
      <c r="E516" s="4">
        <f>362.00*(1-Z1%)</f>
        <v>362</v>
      </c>
      <c r="F516" s="2">
        <v>3</v>
      </c>
      <c r="G516" s="2"/>
    </row>
    <row r="517" spans="1:26" customHeight="1" ht="18" hidden="true" outlineLevel="4">
      <c r="A517" s="2" t="s">
        <v>962</v>
      </c>
      <c r="B517" s="3" t="s">
        <v>963</v>
      </c>
      <c r="C517" s="2"/>
      <c r="D517" s="2" t="s">
        <v>16</v>
      </c>
      <c r="E517" s="4">
        <f>399.95*(1-Z1%)</f>
        <v>399.95</v>
      </c>
      <c r="F517" s="2">
        <v>2</v>
      </c>
      <c r="G517" s="2"/>
    </row>
    <row r="518" spans="1:26" customHeight="1" ht="36" hidden="true" outlineLevel="4">
      <c r="A518" s="2" t="s">
        <v>964</v>
      </c>
      <c r="B518" s="3" t="s">
        <v>965</v>
      </c>
      <c r="C518" s="2"/>
      <c r="D518" s="2" t="s">
        <v>16</v>
      </c>
      <c r="E518" s="4">
        <f>282.51*(1-Z1%)</f>
        <v>282.51</v>
      </c>
      <c r="F518" s="2">
        <v>2</v>
      </c>
      <c r="G518" s="2"/>
    </row>
    <row r="519" spans="1:26" customHeight="1" ht="36" hidden="true" outlineLevel="4">
      <c r="A519" s="2" t="s">
        <v>966</v>
      </c>
      <c r="B519" s="3" t="s">
        <v>967</v>
      </c>
      <c r="C519" s="2"/>
      <c r="D519" s="2" t="s">
        <v>16</v>
      </c>
      <c r="E519" s="4">
        <f>1289.97*(1-Z1%)</f>
        <v>1289.97</v>
      </c>
      <c r="F519" s="2">
        <v>1</v>
      </c>
      <c r="G519" s="2"/>
    </row>
    <row r="520" spans="1:26" customHeight="1" ht="36" hidden="true" outlineLevel="4">
      <c r="A520" s="2" t="s">
        <v>968</v>
      </c>
      <c r="B520" s="3" t="s">
        <v>969</v>
      </c>
      <c r="C520" s="2"/>
      <c r="D520" s="2" t="s">
        <v>16</v>
      </c>
      <c r="E520" s="4">
        <f>859.08*(1-Z1%)</f>
        <v>859.08</v>
      </c>
      <c r="F520" s="2">
        <v>1</v>
      </c>
      <c r="G520" s="2"/>
    </row>
    <row r="521" spans="1:26" customHeight="1" ht="36" hidden="true" outlineLevel="4">
      <c r="A521" s="2" t="s">
        <v>970</v>
      </c>
      <c r="B521" s="3" t="s">
        <v>971</v>
      </c>
      <c r="C521" s="2"/>
      <c r="D521" s="2" t="s">
        <v>16</v>
      </c>
      <c r="E521" s="4">
        <f>397.67*(1-Z1%)</f>
        <v>397.67</v>
      </c>
      <c r="F521" s="2">
        <v>9</v>
      </c>
      <c r="G521" s="2"/>
    </row>
    <row r="522" spans="1:26" customHeight="1" ht="35" hidden="true" outlineLevel="3">
      <c r="A522" s="5" t="s">
        <v>972</v>
      </c>
      <c r="B522" s="5"/>
      <c r="C522" s="5"/>
      <c r="D522" s="5"/>
      <c r="E522" s="5"/>
      <c r="F522" s="5"/>
      <c r="G522" s="5"/>
    </row>
    <row r="523" spans="1:26" customHeight="1" ht="18" hidden="true" outlineLevel="3">
      <c r="A523" s="2" t="s">
        <v>973</v>
      </c>
      <c r="B523" s="3" t="s">
        <v>974</v>
      </c>
      <c r="C523" s="2"/>
      <c r="D523" s="2" t="s">
        <v>16</v>
      </c>
      <c r="E523" s="4">
        <f>1054.69*(1-Z1%)</f>
        <v>1054.69</v>
      </c>
      <c r="F523" s="2">
        <v>2</v>
      </c>
      <c r="G523" s="2"/>
    </row>
    <row r="524" spans="1:26" customHeight="1" ht="18" hidden="true" outlineLevel="3">
      <c r="A524" s="2" t="s">
        <v>975</v>
      </c>
      <c r="B524" s="3" t="s">
        <v>976</v>
      </c>
      <c r="C524" s="2"/>
      <c r="D524" s="2" t="s">
        <v>16</v>
      </c>
      <c r="E524" s="4">
        <f>955.80*(1-Z1%)</f>
        <v>955.8</v>
      </c>
      <c r="F524" s="2">
        <v>2</v>
      </c>
      <c r="G524" s="2"/>
    </row>
    <row r="525" spans="1:26" customHeight="1" ht="18" hidden="true" outlineLevel="3">
      <c r="A525" s="2" t="s">
        <v>977</v>
      </c>
      <c r="B525" s="3" t="s">
        <v>978</v>
      </c>
      <c r="C525" s="2"/>
      <c r="D525" s="2" t="s">
        <v>16</v>
      </c>
      <c r="E525" s="4">
        <f>1220.07*(1-Z1%)</f>
        <v>1220.07</v>
      </c>
      <c r="F525" s="2">
        <v>2</v>
      </c>
      <c r="G525" s="2"/>
    </row>
    <row r="526" spans="1:26" customHeight="1" ht="18" hidden="true" outlineLevel="3">
      <c r="A526" s="2" t="s">
        <v>979</v>
      </c>
      <c r="B526" s="3" t="s">
        <v>980</v>
      </c>
      <c r="C526" s="2"/>
      <c r="D526" s="2" t="s">
        <v>16</v>
      </c>
      <c r="E526" s="4">
        <f>336.38*(1-Z1%)</f>
        <v>336.38</v>
      </c>
      <c r="F526" s="2">
        <v>1</v>
      </c>
      <c r="G526" s="2"/>
    </row>
    <row r="527" spans="1:26" customHeight="1" ht="35" hidden="true" outlineLevel="3">
      <c r="A527" s="5" t="s">
        <v>981</v>
      </c>
      <c r="B527" s="5"/>
      <c r="C527" s="5"/>
      <c r="D527" s="5"/>
      <c r="E527" s="5"/>
      <c r="F527" s="5"/>
      <c r="G527" s="5"/>
    </row>
    <row r="528" spans="1:26" customHeight="1" ht="18" hidden="true" outlineLevel="3">
      <c r="A528" s="2" t="s">
        <v>982</v>
      </c>
      <c r="B528" s="3" t="s">
        <v>983</v>
      </c>
      <c r="C528" s="2"/>
      <c r="D528" s="2" t="s">
        <v>16</v>
      </c>
      <c r="E528" s="4">
        <f>124.62*(1-Z1%)</f>
        <v>124.62</v>
      </c>
      <c r="F528" s="2">
        <v>2</v>
      </c>
      <c r="G528" s="2"/>
    </row>
    <row r="529" spans="1:26" customHeight="1" ht="35" hidden="true" outlineLevel="3">
      <c r="A529" s="5" t="s">
        <v>984</v>
      </c>
      <c r="B529" s="5"/>
      <c r="C529" s="5"/>
      <c r="D529" s="5"/>
      <c r="E529" s="5"/>
      <c r="F529" s="5"/>
      <c r="G529" s="5"/>
    </row>
    <row r="530" spans="1:26" customHeight="1" ht="18" hidden="true" outlineLevel="3">
      <c r="A530" s="2" t="s">
        <v>985</v>
      </c>
      <c r="B530" s="3" t="s">
        <v>986</v>
      </c>
      <c r="C530" s="2"/>
      <c r="D530" s="2" t="s">
        <v>16</v>
      </c>
      <c r="E530" s="4">
        <f>149.63*(1-Z1%)</f>
        <v>149.63</v>
      </c>
      <c r="F530" s="2">
        <v>4</v>
      </c>
      <c r="G530" s="2"/>
    </row>
    <row r="531" spans="1:26" customHeight="1" ht="36" hidden="true" outlineLevel="3">
      <c r="A531" s="2" t="s">
        <v>987</v>
      </c>
      <c r="B531" s="3" t="s">
        <v>988</v>
      </c>
      <c r="C531" s="2"/>
      <c r="D531" s="2" t="s">
        <v>16</v>
      </c>
      <c r="E531" s="4">
        <f>51.30*(1-Z1%)</f>
        <v>51.3</v>
      </c>
      <c r="F531" s="2">
        <v>5</v>
      </c>
      <c r="G531" s="2"/>
    </row>
    <row r="532" spans="1:26" customHeight="1" ht="36" hidden="true" outlineLevel="3">
      <c r="A532" s="2" t="s">
        <v>989</v>
      </c>
      <c r="B532" s="3" t="s">
        <v>990</v>
      </c>
      <c r="C532" s="2"/>
      <c r="D532" s="2" t="s">
        <v>16</v>
      </c>
      <c r="E532" s="4">
        <f>101.53*(1-Z1%)</f>
        <v>101.53</v>
      </c>
      <c r="F532" s="2">
        <v>5</v>
      </c>
      <c r="G532" s="2"/>
    </row>
    <row r="533" spans="1:26" customHeight="1" ht="36" hidden="true" outlineLevel="3">
      <c r="A533" s="2" t="s">
        <v>991</v>
      </c>
      <c r="B533" s="3" t="s">
        <v>992</v>
      </c>
      <c r="C533" s="2"/>
      <c r="D533" s="2" t="s">
        <v>16</v>
      </c>
      <c r="E533" s="4">
        <f>81.23*(1-Z1%)</f>
        <v>81.23</v>
      </c>
      <c r="F533" s="2">
        <v>10</v>
      </c>
      <c r="G533" s="2"/>
    </row>
    <row r="534" spans="1:26" customHeight="1" ht="36" hidden="true" outlineLevel="3">
      <c r="A534" s="2" t="s">
        <v>993</v>
      </c>
      <c r="B534" s="3" t="s">
        <v>994</v>
      </c>
      <c r="C534" s="2"/>
      <c r="D534" s="2" t="s">
        <v>16</v>
      </c>
      <c r="E534" s="4">
        <f>76.95*(1-Z1%)</f>
        <v>76.95</v>
      </c>
      <c r="F534" s="2">
        <v>6</v>
      </c>
      <c r="G534" s="2"/>
    </row>
    <row r="535" spans="1:26" customHeight="1" ht="36" hidden="true" outlineLevel="3">
      <c r="A535" s="2" t="s">
        <v>995</v>
      </c>
      <c r="B535" s="3" t="s">
        <v>996</v>
      </c>
      <c r="C535" s="2"/>
      <c r="D535" s="2" t="s">
        <v>16</v>
      </c>
      <c r="E535" s="4">
        <f>84.43*(1-Z1%)</f>
        <v>84.43</v>
      </c>
      <c r="F535" s="2">
        <v>11</v>
      </c>
      <c r="G535" s="2"/>
    </row>
    <row r="536" spans="1:26" customHeight="1" ht="36" hidden="true" outlineLevel="3">
      <c r="A536" s="2" t="s">
        <v>997</v>
      </c>
      <c r="B536" s="3" t="s">
        <v>998</v>
      </c>
      <c r="C536" s="2"/>
      <c r="D536" s="2" t="s">
        <v>16</v>
      </c>
      <c r="E536" s="4">
        <f>144.28*(1-Z1%)</f>
        <v>144.28</v>
      </c>
      <c r="F536" s="2">
        <v>7</v>
      </c>
      <c r="G536" s="2"/>
    </row>
    <row r="537" spans="1:26" customHeight="1" ht="35" hidden="true" outlineLevel="3">
      <c r="A537" s="5" t="s">
        <v>999</v>
      </c>
      <c r="B537" s="5"/>
      <c r="C537" s="5"/>
      <c r="D537" s="5"/>
      <c r="E537" s="5"/>
      <c r="F537" s="5"/>
      <c r="G537" s="5"/>
    </row>
    <row r="538" spans="1:26" customHeight="1" ht="36" hidden="true" outlineLevel="3">
      <c r="A538" s="2" t="s">
        <v>1000</v>
      </c>
      <c r="B538" s="3" t="s">
        <v>1001</v>
      </c>
      <c r="C538" s="2"/>
      <c r="D538" s="2" t="s">
        <v>16</v>
      </c>
      <c r="E538" s="4">
        <f>196.65*(1-Z1%)</f>
        <v>196.65</v>
      </c>
      <c r="F538" s="2">
        <v>5</v>
      </c>
      <c r="G538" s="2"/>
    </row>
    <row r="539" spans="1:26" customHeight="1" ht="35" hidden="true" outlineLevel="3">
      <c r="A539" s="5" t="s">
        <v>1002</v>
      </c>
      <c r="B539" s="5"/>
      <c r="C539" s="5"/>
      <c r="D539" s="5"/>
      <c r="E539" s="5"/>
      <c r="F539" s="5"/>
      <c r="G539" s="5"/>
    </row>
    <row r="540" spans="1:26" customHeight="1" ht="36" hidden="true" outlineLevel="3">
      <c r="A540" s="2" t="s">
        <v>1003</v>
      </c>
      <c r="B540" s="3" t="s">
        <v>1004</v>
      </c>
      <c r="C540" s="2"/>
      <c r="D540" s="2" t="s">
        <v>16</v>
      </c>
      <c r="E540" s="4">
        <f>311.22*(1-Z1%)</f>
        <v>311.22</v>
      </c>
      <c r="F540" s="2">
        <v>1</v>
      </c>
      <c r="G540" s="2"/>
    </row>
    <row r="541" spans="1:26" customHeight="1" ht="36" hidden="true" outlineLevel="3">
      <c r="A541" s="2" t="s">
        <v>1005</v>
      </c>
      <c r="B541" s="3" t="s">
        <v>1006</v>
      </c>
      <c r="C541" s="2"/>
      <c r="D541" s="2" t="s">
        <v>16</v>
      </c>
      <c r="E541" s="4">
        <f>144.90*(1-Z1%)</f>
        <v>144.9</v>
      </c>
      <c r="F541" s="2">
        <v>1</v>
      </c>
      <c r="G541" s="2"/>
    </row>
    <row r="542" spans="1:26" customHeight="1" ht="18" hidden="true" outlineLevel="3">
      <c r="A542" s="2" t="s">
        <v>1007</v>
      </c>
      <c r="B542" s="3" t="s">
        <v>1008</v>
      </c>
      <c r="C542" s="2"/>
      <c r="D542" s="2" t="s">
        <v>16</v>
      </c>
      <c r="E542" s="4">
        <f>166.94*(1-Z1%)</f>
        <v>166.94</v>
      </c>
      <c r="F542" s="2">
        <v>6</v>
      </c>
      <c r="G542" s="2"/>
    </row>
    <row r="543" spans="1:26" customHeight="1" ht="36" hidden="true" outlineLevel="3">
      <c r="A543" s="2" t="s">
        <v>1009</v>
      </c>
      <c r="B543" s="3" t="s">
        <v>1010</v>
      </c>
      <c r="C543" s="2"/>
      <c r="D543" s="2" t="s">
        <v>16</v>
      </c>
      <c r="E543" s="4">
        <f>286.02*(1-Z1%)</f>
        <v>286.02</v>
      </c>
      <c r="F543" s="2">
        <v>3</v>
      </c>
      <c r="G543" s="2"/>
    </row>
    <row r="544" spans="1:26" customHeight="1" ht="36" hidden="true" outlineLevel="3">
      <c r="A544" s="2" t="s">
        <v>1011</v>
      </c>
      <c r="B544" s="3" t="s">
        <v>1012</v>
      </c>
      <c r="C544" s="2"/>
      <c r="D544" s="2" t="s">
        <v>16</v>
      </c>
      <c r="E544" s="4">
        <f>410.76*(1-Z1%)</f>
        <v>410.76</v>
      </c>
      <c r="F544" s="2">
        <v>1</v>
      </c>
      <c r="G544" s="2"/>
    </row>
    <row r="545" spans="1:26" customHeight="1" ht="18" hidden="true" outlineLevel="3">
      <c r="A545" s="2" t="s">
        <v>1013</v>
      </c>
      <c r="B545" s="3" t="s">
        <v>1014</v>
      </c>
      <c r="C545" s="2"/>
      <c r="D545" s="2" t="s">
        <v>16</v>
      </c>
      <c r="E545" s="4">
        <f>153.72*(1-Z1%)</f>
        <v>153.72</v>
      </c>
      <c r="F545" s="2">
        <v>3</v>
      </c>
      <c r="G545" s="2"/>
    </row>
    <row r="546" spans="1:26" customHeight="1" ht="36" hidden="true" outlineLevel="3">
      <c r="A546" s="2" t="s">
        <v>1015</v>
      </c>
      <c r="B546" s="3" t="s">
        <v>1016</v>
      </c>
      <c r="C546" s="2"/>
      <c r="D546" s="2" t="s">
        <v>16</v>
      </c>
      <c r="E546" s="4">
        <f>395.64*(1-Z1%)</f>
        <v>395.64</v>
      </c>
      <c r="F546" s="2">
        <v>1</v>
      </c>
      <c r="G546" s="2"/>
    </row>
    <row r="547" spans="1:26" customHeight="1" ht="36" hidden="true" outlineLevel="3">
      <c r="A547" s="2" t="s">
        <v>1017</v>
      </c>
      <c r="B547" s="3" t="s">
        <v>1018</v>
      </c>
      <c r="C547" s="2"/>
      <c r="D547" s="2" t="s">
        <v>16</v>
      </c>
      <c r="E547" s="4">
        <f>424.62*(1-Z1%)</f>
        <v>424.62</v>
      </c>
      <c r="F547" s="2">
        <v>1</v>
      </c>
      <c r="G547" s="2"/>
    </row>
    <row r="548" spans="1:26" customHeight="1" ht="36" hidden="true" outlineLevel="3">
      <c r="A548" s="2" t="s">
        <v>1019</v>
      </c>
      <c r="B548" s="3" t="s">
        <v>1020</v>
      </c>
      <c r="C548" s="2"/>
      <c r="D548" s="2" t="s">
        <v>16</v>
      </c>
      <c r="E548" s="4">
        <f>472.50*(1-Z1%)</f>
        <v>472.5</v>
      </c>
      <c r="F548" s="2">
        <v>2</v>
      </c>
      <c r="G548" s="2"/>
    </row>
    <row r="549" spans="1:26" customHeight="1" ht="18" hidden="true" outlineLevel="3">
      <c r="A549" s="2" t="s">
        <v>1021</v>
      </c>
      <c r="B549" s="3" t="s">
        <v>1022</v>
      </c>
      <c r="C549" s="2"/>
      <c r="D549" s="2" t="s">
        <v>16</v>
      </c>
      <c r="E549" s="4">
        <f>264.52*(1-Z1%)</f>
        <v>264.52</v>
      </c>
      <c r="F549" s="2">
        <v>3</v>
      </c>
      <c r="G549" s="2"/>
    </row>
    <row r="550" spans="1:26" customHeight="1" ht="18" hidden="true" outlineLevel="3">
      <c r="A550" s="2" t="s">
        <v>1023</v>
      </c>
      <c r="B550" s="3" t="s">
        <v>1024</v>
      </c>
      <c r="C550" s="2"/>
      <c r="D550" s="2" t="s">
        <v>16</v>
      </c>
      <c r="E550" s="4">
        <f>313.89*(1-Z1%)</f>
        <v>313.89</v>
      </c>
      <c r="F550" s="2">
        <v>3</v>
      </c>
      <c r="G550" s="2"/>
    </row>
    <row r="551" spans="1:26" customHeight="1" ht="18" hidden="true" outlineLevel="3">
      <c r="A551" s="2" t="s">
        <v>1025</v>
      </c>
      <c r="B551" s="3" t="s">
        <v>1026</v>
      </c>
      <c r="C551" s="2"/>
      <c r="D551" s="2" t="s">
        <v>16</v>
      </c>
      <c r="E551" s="4">
        <f>289.21*(1-Z1%)</f>
        <v>289.21</v>
      </c>
      <c r="F551" s="2">
        <v>1</v>
      </c>
      <c r="G551" s="2"/>
    </row>
    <row r="552" spans="1:26" customHeight="1" ht="18" hidden="true" outlineLevel="3">
      <c r="A552" s="2" t="s">
        <v>1027</v>
      </c>
      <c r="B552" s="3" t="s">
        <v>1028</v>
      </c>
      <c r="C552" s="2"/>
      <c r="D552" s="2" t="s">
        <v>16</v>
      </c>
      <c r="E552" s="4">
        <f>402.07*(1-Z1%)</f>
        <v>402.07</v>
      </c>
      <c r="F552" s="2">
        <v>1</v>
      </c>
      <c r="G552" s="2"/>
    </row>
    <row r="553" spans="1:26" customHeight="1" ht="35" hidden="true" outlineLevel="2">
      <c r="A553" s="5" t="s">
        <v>1029</v>
      </c>
      <c r="B553" s="5"/>
      <c r="C553" s="5"/>
      <c r="D553" s="5"/>
      <c r="E553" s="5"/>
      <c r="F553" s="5"/>
      <c r="G553" s="5"/>
    </row>
    <row r="554" spans="1:26" customHeight="1" ht="35" hidden="true" outlineLevel="3">
      <c r="A554" s="5" t="s">
        <v>1030</v>
      </c>
      <c r="B554" s="5"/>
      <c r="C554" s="5"/>
      <c r="D554" s="5"/>
      <c r="E554" s="5"/>
      <c r="F554" s="5"/>
      <c r="G554" s="5"/>
    </row>
    <row r="555" spans="1:26" customHeight="1" ht="18" hidden="true" outlineLevel="3">
      <c r="A555" s="2" t="s">
        <v>1031</v>
      </c>
      <c r="B555" s="3" t="s">
        <v>1032</v>
      </c>
      <c r="C555" s="2"/>
      <c r="D555" s="2" t="s">
        <v>16</v>
      </c>
      <c r="E555" s="4">
        <f>130.50*(1-Z1%)</f>
        <v>130.5</v>
      </c>
      <c r="F555" s="2">
        <v>5</v>
      </c>
      <c r="G555" s="2"/>
    </row>
    <row r="556" spans="1:26" customHeight="1" ht="36" hidden="true" outlineLevel="3">
      <c r="A556" s="2" t="s">
        <v>1033</v>
      </c>
      <c r="B556" s="3" t="s">
        <v>1034</v>
      </c>
      <c r="C556" s="2"/>
      <c r="D556" s="2" t="s">
        <v>16</v>
      </c>
      <c r="E556" s="4">
        <f>397.84*(1-Z1%)</f>
        <v>397.84</v>
      </c>
      <c r="F556" s="2">
        <v>5</v>
      </c>
      <c r="G556" s="2"/>
    </row>
    <row r="557" spans="1:26" customHeight="1" ht="18" hidden="true" outlineLevel="3">
      <c r="A557" s="2" t="s">
        <v>1035</v>
      </c>
      <c r="B557" s="3" t="s">
        <v>1036</v>
      </c>
      <c r="C557" s="2"/>
      <c r="D557" s="2" t="s">
        <v>16</v>
      </c>
      <c r="E557" s="4">
        <f>212.50*(1-Z1%)</f>
        <v>212.5</v>
      </c>
      <c r="F557" s="2">
        <v>5</v>
      </c>
      <c r="G557" s="2"/>
    </row>
    <row r="558" spans="1:26" customHeight="1" ht="36" hidden="true" outlineLevel="3">
      <c r="A558" s="2" t="s">
        <v>1037</v>
      </c>
      <c r="B558" s="3" t="s">
        <v>1038</v>
      </c>
      <c r="C558" s="2"/>
      <c r="D558" s="2" t="s">
        <v>16</v>
      </c>
      <c r="E558" s="4">
        <f>572.65*(1-Z1%)</f>
        <v>572.65</v>
      </c>
      <c r="F558" s="2">
        <v>2</v>
      </c>
      <c r="G558" s="2"/>
    </row>
    <row r="559" spans="1:26" customHeight="1" ht="36" hidden="true" outlineLevel="3">
      <c r="A559" s="2" t="s">
        <v>1039</v>
      </c>
      <c r="B559" s="3" t="s">
        <v>1040</v>
      </c>
      <c r="C559" s="2"/>
      <c r="D559" s="2" t="s">
        <v>16</v>
      </c>
      <c r="E559" s="4">
        <f>568.47*(1-Z1%)</f>
        <v>568.47</v>
      </c>
      <c r="F559" s="2">
        <v>3</v>
      </c>
      <c r="G559" s="2"/>
    </row>
    <row r="560" spans="1:26" customHeight="1" ht="36" hidden="true" outlineLevel="3">
      <c r="A560" s="2" t="s">
        <v>1041</v>
      </c>
      <c r="B560" s="3" t="s">
        <v>1042</v>
      </c>
      <c r="C560" s="2"/>
      <c r="D560" s="2" t="s">
        <v>16</v>
      </c>
      <c r="E560" s="4">
        <f>925.65*(1-Z1%)</f>
        <v>925.65</v>
      </c>
      <c r="F560" s="2">
        <v>2</v>
      </c>
      <c r="G560" s="2"/>
    </row>
    <row r="561" spans="1:26" customHeight="1" ht="18" hidden="true" outlineLevel="3">
      <c r="A561" s="2" t="s">
        <v>1043</v>
      </c>
      <c r="B561" s="3" t="s">
        <v>1044</v>
      </c>
      <c r="C561" s="2"/>
      <c r="D561" s="2" t="s">
        <v>16</v>
      </c>
      <c r="E561" s="4">
        <f>67.50*(1-Z1%)</f>
        <v>67.5</v>
      </c>
      <c r="F561" s="2">
        <v>10</v>
      </c>
      <c r="G561" s="2"/>
    </row>
    <row r="562" spans="1:26" customHeight="1" ht="18" hidden="true" outlineLevel="3">
      <c r="A562" s="2" t="s">
        <v>1045</v>
      </c>
      <c r="B562" s="3" t="s">
        <v>1046</v>
      </c>
      <c r="C562" s="2"/>
      <c r="D562" s="2" t="s">
        <v>16</v>
      </c>
      <c r="E562" s="4">
        <f>148.50*(1-Z1%)</f>
        <v>148.5</v>
      </c>
      <c r="F562" s="2">
        <v>9</v>
      </c>
      <c r="G562" s="2"/>
    </row>
    <row r="563" spans="1:26" customHeight="1" ht="18" hidden="true" outlineLevel="3">
      <c r="A563" s="2" t="s">
        <v>1047</v>
      </c>
      <c r="B563" s="3" t="s">
        <v>1048</v>
      </c>
      <c r="C563" s="2"/>
      <c r="D563" s="2" t="s">
        <v>16</v>
      </c>
      <c r="E563" s="4">
        <f>135.00*(1-Z1%)</f>
        <v>135</v>
      </c>
      <c r="F563" s="2">
        <v>2</v>
      </c>
      <c r="G563" s="2"/>
    </row>
    <row r="564" spans="1:26" customHeight="1" ht="18" hidden="true" outlineLevel="3">
      <c r="A564" s="2" t="s">
        <v>1049</v>
      </c>
      <c r="B564" s="3" t="s">
        <v>1050</v>
      </c>
      <c r="C564" s="2"/>
      <c r="D564" s="2" t="s">
        <v>16</v>
      </c>
      <c r="E564" s="4">
        <f>337.50*(1-Z1%)</f>
        <v>337.5</v>
      </c>
      <c r="F564" s="2">
        <v>2</v>
      </c>
      <c r="G564" s="2"/>
    </row>
    <row r="565" spans="1:26" customHeight="1" ht="18" hidden="true" outlineLevel="3">
      <c r="A565" s="2" t="s">
        <v>1051</v>
      </c>
      <c r="B565" s="3" t="s">
        <v>1052</v>
      </c>
      <c r="C565" s="2"/>
      <c r="D565" s="2" t="s">
        <v>16</v>
      </c>
      <c r="E565" s="4">
        <f>243.00*(1-Z1%)</f>
        <v>243</v>
      </c>
      <c r="F565" s="2">
        <v>2</v>
      </c>
      <c r="G565" s="2"/>
    </row>
    <row r="566" spans="1:26" customHeight="1" ht="35" hidden="true" outlineLevel="3">
      <c r="A566" s="5" t="s">
        <v>1053</v>
      </c>
      <c r="B566" s="5"/>
      <c r="C566" s="5"/>
      <c r="D566" s="5"/>
      <c r="E566" s="5"/>
      <c r="F566" s="5"/>
      <c r="G566" s="5"/>
    </row>
    <row r="567" spans="1:26" customHeight="1" ht="18" hidden="true" outlineLevel="3">
      <c r="A567" s="2" t="s">
        <v>1054</v>
      </c>
      <c r="B567" s="3" t="s">
        <v>1055</v>
      </c>
      <c r="C567" s="2"/>
      <c r="D567" s="2" t="s">
        <v>16</v>
      </c>
      <c r="E567" s="4">
        <f>415.18*(1-Z1%)</f>
        <v>415.18</v>
      </c>
      <c r="F567" s="2">
        <v>2</v>
      </c>
      <c r="G567" s="2"/>
    </row>
    <row r="568" spans="1:26" customHeight="1" ht="35" hidden="true" outlineLevel="3">
      <c r="A568" s="5" t="s">
        <v>1056</v>
      </c>
      <c r="B568" s="5"/>
      <c r="C568" s="5"/>
      <c r="D568" s="5"/>
      <c r="E568" s="5"/>
      <c r="F568" s="5"/>
      <c r="G568" s="5"/>
    </row>
    <row r="569" spans="1:26" customHeight="1" ht="18" hidden="true" outlineLevel="3">
      <c r="A569" s="2" t="s">
        <v>1057</v>
      </c>
      <c r="B569" s="3" t="s">
        <v>1058</v>
      </c>
      <c r="C569" s="2"/>
      <c r="D569" s="2" t="s">
        <v>16</v>
      </c>
      <c r="E569" s="4">
        <f>8.78*(1-Z1%)</f>
        <v>8.78</v>
      </c>
      <c r="F569" s="2">
        <v>8</v>
      </c>
      <c r="G569" s="2"/>
    </row>
    <row r="570" spans="1:26" customHeight="1" ht="35" hidden="true" outlineLevel="3">
      <c r="A570" s="5" t="s">
        <v>1059</v>
      </c>
      <c r="B570" s="5"/>
      <c r="C570" s="5"/>
      <c r="D570" s="5"/>
      <c r="E570" s="5"/>
      <c r="F570" s="5"/>
      <c r="G570" s="5"/>
    </row>
    <row r="571" spans="1:26" customHeight="1" ht="35" hidden="true" outlineLevel="4">
      <c r="A571" s="5" t="s">
        <v>1060</v>
      </c>
      <c r="B571" s="5"/>
      <c r="C571" s="5"/>
      <c r="D571" s="5"/>
      <c r="E571" s="5"/>
      <c r="F571" s="5"/>
      <c r="G571" s="5"/>
    </row>
    <row r="572" spans="1:26" customHeight="1" ht="36" hidden="true" outlineLevel="4">
      <c r="A572" s="2" t="s">
        <v>1061</v>
      </c>
      <c r="B572" s="3" t="s">
        <v>1062</v>
      </c>
      <c r="C572" s="2"/>
      <c r="D572" s="2" t="s">
        <v>16</v>
      </c>
      <c r="E572" s="4">
        <f>393.83*(1-Z1%)</f>
        <v>393.83</v>
      </c>
      <c r="F572" s="2">
        <v>1</v>
      </c>
      <c r="G572" s="2"/>
    </row>
    <row r="573" spans="1:26" customHeight="1" ht="36" hidden="true" outlineLevel="4">
      <c r="A573" s="2" t="s">
        <v>1063</v>
      </c>
      <c r="B573" s="3" t="s">
        <v>1064</v>
      </c>
      <c r="C573" s="2"/>
      <c r="D573" s="2" t="s">
        <v>16</v>
      </c>
      <c r="E573" s="4">
        <f>393.83*(1-Z1%)</f>
        <v>393.83</v>
      </c>
      <c r="F573" s="2">
        <v>2</v>
      </c>
      <c r="G573" s="2"/>
    </row>
    <row r="574" spans="1:26" customHeight="1" ht="35" hidden="true" outlineLevel="4">
      <c r="A574" s="5" t="s">
        <v>1065</v>
      </c>
      <c r="B574" s="5"/>
      <c r="C574" s="5"/>
      <c r="D574" s="5"/>
      <c r="E574" s="5"/>
      <c r="F574" s="5"/>
      <c r="G574" s="5"/>
    </row>
    <row r="575" spans="1:26" customHeight="1" ht="18" hidden="true" outlineLevel="4">
      <c r="A575" s="2" t="s">
        <v>1066</v>
      </c>
      <c r="B575" s="3" t="s">
        <v>1067</v>
      </c>
      <c r="C575" s="2"/>
      <c r="D575" s="2" t="s">
        <v>16</v>
      </c>
      <c r="E575" s="4">
        <f>6.26*(1-Z1%)</f>
        <v>6.26</v>
      </c>
      <c r="F575" s="2">
        <v>1</v>
      </c>
      <c r="G575" s="2"/>
    </row>
    <row r="576" spans="1:26" customHeight="1" ht="35" hidden="true" outlineLevel="4">
      <c r="A576" s="5" t="s">
        <v>1068</v>
      </c>
      <c r="B576" s="5"/>
      <c r="C576" s="5"/>
      <c r="D576" s="5"/>
      <c r="E576" s="5"/>
      <c r="F576" s="5"/>
      <c r="G576" s="5"/>
    </row>
    <row r="577" spans="1:26" customHeight="1" ht="36" hidden="true" outlineLevel="4">
      <c r="A577" s="2" t="s">
        <v>1069</v>
      </c>
      <c r="B577" s="3" t="s">
        <v>1070</v>
      </c>
      <c r="C577" s="2"/>
      <c r="D577" s="2" t="s">
        <v>16</v>
      </c>
      <c r="E577" s="4">
        <f>46.67*(1-Z1%)</f>
        <v>46.67</v>
      </c>
      <c r="F577" s="2">
        <v>3</v>
      </c>
      <c r="G577" s="2"/>
    </row>
    <row r="578" spans="1:26" customHeight="1" ht="18" hidden="true" outlineLevel="4">
      <c r="A578" s="2" t="s">
        <v>1071</v>
      </c>
      <c r="B578" s="3" t="s">
        <v>1072</v>
      </c>
      <c r="C578" s="2"/>
      <c r="D578" s="2" t="s">
        <v>16</v>
      </c>
      <c r="E578" s="4">
        <f>18.82*(1-Z1%)</f>
        <v>18.82</v>
      </c>
      <c r="F578" s="2">
        <v>10</v>
      </c>
      <c r="G578" s="2"/>
    </row>
    <row r="579" spans="1:26" customHeight="1" ht="36" hidden="true" outlineLevel="4">
      <c r="A579" s="2" t="s">
        <v>1073</v>
      </c>
      <c r="B579" s="3" t="s">
        <v>1074</v>
      </c>
      <c r="C579" s="2"/>
      <c r="D579" s="2" t="s">
        <v>16</v>
      </c>
      <c r="E579" s="4">
        <f>31.96*(1-Z1%)</f>
        <v>31.96</v>
      </c>
      <c r="F579" s="2">
        <v>10</v>
      </c>
      <c r="G579" s="2"/>
    </row>
    <row r="580" spans="1:26" customHeight="1" ht="35" hidden="true" outlineLevel="4">
      <c r="A580" s="5" t="s">
        <v>1075</v>
      </c>
      <c r="B580" s="5"/>
      <c r="C580" s="5"/>
      <c r="D580" s="5"/>
      <c r="E580" s="5"/>
      <c r="F580" s="5"/>
      <c r="G580" s="5"/>
    </row>
    <row r="581" spans="1:26" customHeight="1" ht="18" hidden="true" outlineLevel="4">
      <c r="A581" s="2" t="s">
        <v>1076</v>
      </c>
      <c r="B581" s="3" t="s">
        <v>1077</v>
      </c>
      <c r="C581" s="2"/>
      <c r="D581" s="2" t="s">
        <v>16</v>
      </c>
      <c r="E581" s="4">
        <f>200.82*(1-Z1%)</f>
        <v>200.82</v>
      </c>
      <c r="F581" s="2">
        <v>3</v>
      </c>
      <c r="G581" s="2"/>
    </row>
    <row r="582" spans="1:26" customHeight="1" ht="35" hidden="true" outlineLevel="2">
      <c r="A582" s="5" t="s">
        <v>1078</v>
      </c>
      <c r="B582" s="5"/>
      <c r="C582" s="5"/>
      <c r="D582" s="5"/>
      <c r="E582" s="5"/>
      <c r="F582" s="5"/>
      <c r="G582" s="5"/>
    </row>
    <row r="583" spans="1:26" customHeight="1" ht="35" hidden="true" outlineLevel="3">
      <c r="A583" s="5" t="s">
        <v>1079</v>
      </c>
      <c r="B583" s="5"/>
      <c r="C583" s="5"/>
      <c r="D583" s="5"/>
      <c r="E583" s="5"/>
      <c r="F583" s="5"/>
      <c r="G583" s="5"/>
    </row>
    <row r="584" spans="1:26" customHeight="1" ht="18" hidden="true" outlineLevel="3">
      <c r="A584" s="2" t="s">
        <v>1080</v>
      </c>
      <c r="B584" s="3" t="s">
        <v>1081</v>
      </c>
      <c r="C584" s="2"/>
      <c r="D584" s="2" t="s">
        <v>16</v>
      </c>
      <c r="E584" s="4">
        <f>562.28*(1-Z1%)</f>
        <v>562.28</v>
      </c>
      <c r="F584" s="2">
        <v>1</v>
      </c>
      <c r="G584" s="2"/>
    </row>
    <row r="585" spans="1:26" customHeight="1" ht="35" hidden="true" outlineLevel="3">
      <c r="A585" s="5" t="s">
        <v>1082</v>
      </c>
      <c r="B585" s="5"/>
      <c r="C585" s="5"/>
      <c r="D585" s="5"/>
      <c r="E585" s="5"/>
      <c r="F585" s="5"/>
      <c r="G585" s="5"/>
    </row>
    <row r="586" spans="1:26" customHeight="1" ht="18" hidden="true" outlineLevel="3">
      <c r="A586" s="2" t="s">
        <v>1083</v>
      </c>
      <c r="B586" s="3" t="s">
        <v>1084</v>
      </c>
      <c r="C586" s="2"/>
      <c r="D586" s="2" t="s">
        <v>16</v>
      </c>
      <c r="E586" s="4">
        <f>225.28*(1-Z1%)</f>
        <v>225.28</v>
      </c>
      <c r="F586" s="2">
        <v>4</v>
      </c>
      <c r="G586" s="2"/>
    </row>
    <row r="587" spans="1:26" customHeight="1" ht="36" hidden="true" outlineLevel="3">
      <c r="A587" s="2" t="s">
        <v>1085</v>
      </c>
      <c r="B587" s="3" t="s">
        <v>1086</v>
      </c>
      <c r="C587" s="2"/>
      <c r="D587" s="2" t="s">
        <v>16</v>
      </c>
      <c r="E587" s="4">
        <f>776.74*(1-Z1%)</f>
        <v>776.74</v>
      </c>
      <c r="F587" s="2">
        <v>3</v>
      </c>
      <c r="G587" s="2"/>
    </row>
    <row r="588" spans="1:26" customHeight="1" ht="36" hidden="true" outlineLevel="3">
      <c r="A588" s="2" t="s">
        <v>1087</v>
      </c>
      <c r="B588" s="3" t="s">
        <v>1088</v>
      </c>
      <c r="C588" s="2"/>
      <c r="D588" s="2" t="s">
        <v>16</v>
      </c>
      <c r="E588" s="4">
        <f>684.85*(1-Z1%)</f>
        <v>684.85</v>
      </c>
      <c r="F588" s="2">
        <v>1</v>
      </c>
      <c r="G588" s="2"/>
    </row>
    <row r="589" spans="1:26" customHeight="1" ht="18" hidden="true" outlineLevel="3">
      <c r="A589" s="2" t="s">
        <v>1089</v>
      </c>
      <c r="B589" s="3" t="s">
        <v>1090</v>
      </c>
      <c r="C589" s="2"/>
      <c r="D589" s="2" t="s">
        <v>16</v>
      </c>
      <c r="E589" s="4">
        <f>342.57*(1-Z1%)</f>
        <v>342.57</v>
      </c>
      <c r="F589" s="2">
        <v>2</v>
      </c>
      <c r="G589" s="2"/>
    </row>
    <row r="590" spans="1:26" customHeight="1" ht="18" hidden="true" outlineLevel="3">
      <c r="A590" s="2" t="s">
        <v>1091</v>
      </c>
      <c r="B590" s="3" t="s">
        <v>1092</v>
      </c>
      <c r="C590" s="2"/>
      <c r="D590" s="2" t="s">
        <v>16</v>
      </c>
      <c r="E590" s="4">
        <f>411.86*(1-Z1%)</f>
        <v>411.86</v>
      </c>
      <c r="F590" s="2">
        <v>2</v>
      </c>
      <c r="G590" s="2"/>
    </row>
    <row r="591" spans="1:26" customHeight="1" ht="18" hidden="true" outlineLevel="3">
      <c r="A591" s="2" t="s">
        <v>1093</v>
      </c>
      <c r="B591" s="3" t="s">
        <v>1094</v>
      </c>
      <c r="C591" s="2"/>
      <c r="D591" s="2" t="s">
        <v>16</v>
      </c>
      <c r="E591" s="4">
        <f>389.11*(1-Z1%)</f>
        <v>389.11</v>
      </c>
      <c r="F591" s="2">
        <v>1</v>
      </c>
      <c r="G591" s="2"/>
    </row>
    <row r="592" spans="1:26" customHeight="1" ht="18" hidden="true" outlineLevel="3">
      <c r="A592" s="2" t="s">
        <v>1095</v>
      </c>
      <c r="B592" s="3" t="s">
        <v>1096</v>
      </c>
      <c r="C592" s="2"/>
      <c r="D592" s="2" t="s">
        <v>16</v>
      </c>
      <c r="E592" s="4">
        <f>389.11*(1-Z1%)</f>
        <v>389.11</v>
      </c>
      <c r="F592" s="2">
        <v>1</v>
      </c>
      <c r="G592" s="2"/>
    </row>
    <row r="593" spans="1:26" customHeight="1" ht="35" hidden="true" outlineLevel="3">
      <c r="A593" s="5" t="s">
        <v>1097</v>
      </c>
      <c r="B593" s="5"/>
      <c r="C593" s="5"/>
      <c r="D593" s="5"/>
      <c r="E593" s="5"/>
      <c r="F593" s="5"/>
      <c r="G593" s="5"/>
    </row>
    <row r="594" spans="1:26" customHeight="1" ht="36" hidden="true" outlineLevel="3">
      <c r="A594" s="2" t="s">
        <v>1098</v>
      </c>
      <c r="B594" s="3" t="s">
        <v>1099</v>
      </c>
      <c r="C594" s="2"/>
      <c r="D594" s="2" t="s">
        <v>16</v>
      </c>
      <c r="E594" s="4">
        <f>742.65*(1-Z1%)</f>
        <v>742.65</v>
      </c>
      <c r="F594" s="2">
        <v>2</v>
      </c>
      <c r="G594" s="2"/>
    </row>
    <row r="595" spans="1:26" customHeight="1" ht="35" hidden="true" outlineLevel="3">
      <c r="A595" s="5" t="s">
        <v>1100</v>
      </c>
      <c r="B595" s="5"/>
      <c r="C595" s="5"/>
      <c r="D595" s="5"/>
      <c r="E595" s="5"/>
      <c r="F595" s="5"/>
      <c r="G595" s="5"/>
    </row>
    <row r="596" spans="1:26" customHeight="1" ht="18" hidden="true" outlineLevel="3">
      <c r="A596" s="2" t="s">
        <v>1101</v>
      </c>
      <c r="B596" s="3" t="s">
        <v>1102</v>
      </c>
      <c r="C596" s="2"/>
      <c r="D596" s="2" t="s">
        <v>16</v>
      </c>
      <c r="E596" s="4">
        <f>160.88*(1-Z1%)</f>
        <v>160.88</v>
      </c>
      <c r="F596" s="2">
        <v>10</v>
      </c>
      <c r="G596" s="2"/>
    </row>
    <row r="597" spans="1:26" customHeight="1" ht="36" hidden="true" outlineLevel="3">
      <c r="A597" s="2" t="s">
        <v>1103</v>
      </c>
      <c r="B597" s="3" t="s">
        <v>1104</v>
      </c>
      <c r="C597" s="2"/>
      <c r="D597" s="2" t="s">
        <v>16</v>
      </c>
      <c r="E597" s="4">
        <f>436.26*(1-Z1%)</f>
        <v>436.26</v>
      </c>
      <c r="F597" s="2">
        <v>6</v>
      </c>
      <c r="G597" s="2"/>
    </row>
    <row r="598" spans="1:26" customHeight="1" ht="36" hidden="true" outlineLevel="3">
      <c r="A598" s="2" t="s">
        <v>1105</v>
      </c>
      <c r="B598" s="3" t="s">
        <v>1106</v>
      </c>
      <c r="C598" s="2"/>
      <c r="D598" s="2" t="s">
        <v>16</v>
      </c>
      <c r="E598" s="4">
        <f>675.70*(1-Z1%)</f>
        <v>675.7</v>
      </c>
      <c r="F598" s="2">
        <v>1</v>
      </c>
      <c r="G598" s="2"/>
    </row>
    <row r="599" spans="1:26" customHeight="1" ht="36" hidden="true" outlineLevel="3">
      <c r="A599" s="2" t="s">
        <v>1107</v>
      </c>
      <c r="B599" s="3" t="s">
        <v>1108</v>
      </c>
      <c r="C599" s="2"/>
      <c r="D599" s="2" t="s">
        <v>16</v>
      </c>
      <c r="E599" s="4">
        <f>669.83*(1-Z1%)</f>
        <v>669.83</v>
      </c>
      <c r="F599" s="2">
        <v>2</v>
      </c>
      <c r="G599" s="2"/>
    </row>
    <row r="600" spans="1:26" customHeight="1" ht="36" hidden="true" outlineLevel="3">
      <c r="A600" s="2" t="s">
        <v>1109</v>
      </c>
      <c r="B600" s="3" t="s">
        <v>1110</v>
      </c>
      <c r="C600" s="2"/>
      <c r="D600" s="2" t="s">
        <v>16</v>
      </c>
      <c r="E600" s="4">
        <f>100.96*(1-Z1%)</f>
        <v>100.96</v>
      </c>
      <c r="F600" s="2">
        <v>11</v>
      </c>
      <c r="G600" s="2"/>
    </row>
    <row r="601" spans="1:26" customHeight="1" ht="36" hidden="true" outlineLevel="3">
      <c r="A601" s="2" t="s">
        <v>1111</v>
      </c>
      <c r="B601" s="3" t="s">
        <v>1112</v>
      </c>
      <c r="C601" s="2"/>
      <c r="D601" s="2" t="s">
        <v>16</v>
      </c>
      <c r="E601" s="4">
        <f>110.86*(1-Z1%)</f>
        <v>110.86</v>
      </c>
      <c r="F601" s="2">
        <v>10</v>
      </c>
      <c r="G601" s="2"/>
    </row>
    <row r="602" spans="1:26" customHeight="1" ht="18" hidden="true" outlineLevel="3">
      <c r="A602" s="2" t="s">
        <v>1113</v>
      </c>
      <c r="B602" s="3" t="s">
        <v>1114</v>
      </c>
      <c r="C602" s="2"/>
      <c r="D602" s="2" t="s">
        <v>16</v>
      </c>
      <c r="E602" s="4">
        <f>161.87*(1-Z1%)</f>
        <v>161.87</v>
      </c>
      <c r="F602" s="2">
        <v>1</v>
      </c>
      <c r="G602" s="2"/>
    </row>
    <row r="603" spans="1:26" customHeight="1" ht="35" hidden="true" outlineLevel="3">
      <c r="A603" s="5" t="s">
        <v>1115</v>
      </c>
      <c r="B603" s="5"/>
      <c r="C603" s="5"/>
      <c r="D603" s="5"/>
      <c r="E603" s="5"/>
      <c r="F603" s="5"/>
      <c r="G603" s="5"/>
    </row>
    <row r="604" spans="1:26" customHeight="1" ht="18" hidden="true" outlineLevel="3">
      <c r="A604" s="2" t="s">
        <v>1116</v>
      </c>
      <c r="B604" s="3" t="s">
        <v>1117</v>
      </c>
      <c r="C604" s="2"/>
      <c r="D604" s="2" t="s">
        <v>16</v>
      </c>
      <c r="E604" s="4">
        <f>1568.70*(1-Z1%)</f>
        <v>1568.7</v>
      </c>
      <c r="F604" s="2">
        <v>1</v>
      </c>
      <c r="G604" s="2"/>
    </row>
    <row r="605" spans="1:26" customHeight="1" ht="35" hidden="true" outlineLevel="2">
      <c r="A605" s="5" t="s">
        <v>1118</v>
      </c>
      <c r="B605" s="5"/>
      <c r="C605" s="5"/>
      <c r="D605" s="5"/>
      <c r="E605" s="5"/>
      <c r="F605" s="5"/>
      <c r="G605" s="5"/>
    </row>
    <row r="606" spans="1:26" customHeight="1" ht="35" hidden="true" outlineLevel="3">
      <c r="A606" s="5" t="s">
        <v>1119</v>
      </c>
      <c r="B606" s="5"/>
      <c r="C606" s="5"/>
      <c r="D606" s="5"/>
      <c r="E606" s="5"/>
      <c r="F606" s="5"/>
      <c r="G606" s="5"/>
    </row>
    <row r="607" spans="1:26" customHeight="1" ht="18" hidden="true" outlineLevel="3">
      <c r="A607" s="2" t="s">
        <v>1120</v>
      </c>
      <c r="B607" s="3" t="s">
        <v>1121</v>
      </c>
      <c r="C607" s="2"/>
      <c r="D607" s="2" t="s">
        <v>16</v>
      </c>
      <c r="E607" s="4">
        <f>180.59*(1-Z1%)</f>
        <v>180.59</v>
      </c>
      <c r="F607" s="2">
        <v>1</v>
      </c>
      <c r="G607" s="2"/>
    </row>
    <row r="608" spans="1:26" customHeight="1" ht="18" hidden="true" outlineLevel="3">
      <c r="A608" s="2" t="s">
        <v>1122</v>
      </c>
      <c r="B608" s="3" t="s">
        <v>1123</v>
      </c>
      <c r="C608" s="2"/>
      <c r="D608" s="2" t="s">
        <v>16</v>
      </c>
      <c r="E608" s="4">
        <f>319.28*(1-Z1%)</f>
        <v>319.28</v>
      </c>
      <c r="F608" s="2">
        <v>2</v>
      </c>
      <c r="G608" s="2"/>
    </row>
    <row r="609" spans="1:26" customHeight="1" ht="36" hidden="true" outlineLevel="3">
      <c r="A609" s="2" t="s">
        <v>1124</v>
      </c>
      <c r="B609" s="3" t="s">
        <v>1125</v>
      </c>
      <c r="C609" s="2"/>
      <c r="D609" s="2" t="s">
        <v>16</v>
      </c>
      <c r="E609" s="4">
        <f>442.74*(1-Z1%)</f>
        <v>442.74</v>
      </c>
      <c r="F609" s="2">
        <v>1</v>
      </c>
      <c r="G609" s="2"/>
    </row>
    <row r="610" spans="1:26" customHeight="1" ht="36" hidden="true" outlineLevel="3">
      <c r="A610" s="2" t="s">
        <v>1126</v>
      </c>
      <c r="B610" s="3" t="s">
        <v>1127</v>
      </c>
      <c r="C610" s="2"/>
      <c r="D610" s="2" t="s">
        <v>16</v>
      </c>
      <c r="E610" s="4">
        <f>572.39*(1-Z1%)</f>
        <v>572.39</v>
      </c>
      <c r="F610" s="2">
        <v>1</v>
      </c>
      <c r="G610" s="2"/>
    </row>
    <row r="611" spans="1:26" customHeight="1" ht="18" hidden="true" outlineLevel="3">
      <c r="A611" s="2" t="s">
        <v>1128</v>
      </c>
      <c r="B611" s="3" t="s">
        <v>1129</v>
      </c>
      <c r="C611" s="2"/>
      <c r="D611" s="2" t="s">
        <v>16</v>
      </c>
      <c r="E611" s="4">
        <f>443.03*(1-Z1%)</f>
        <v>443.03</v>
      </c>
      <c r="F611" s="2">
        <v>1</v>
      </c>
      <c r="G611" s="2"/>
    </row>
    <row r="612" spans="1:26" customHeight="1" ht="35" hidden="true" outlineLevel="3">
      <c r="A612" s="5" t="s">
        <v>1130</v>
      </c>
      <c r="B612" s="5"/>
      <c r="C612" s="5"/>
      <c r="D612" s="5"/>
      <c r="E612" s="5"/>
      <c r="F612" s="5"/>
      <c r="G612" s="5"/>
    </row>
    <row r="613" spans="1:26" customHeight="1" ht="36" hidden="true" outlineLevel="3">
      <c r="A613" s="2" t="s">
        <v>1131</v>
      </c>
      <c r="B613" s="3" t="s">
        <v>1132</v>
      </c>
      <c r="C613" s="2"/>
      <c r="D613" s="2" t="s">
        <v>16</v>
      </c>
      <c r="E613" s="4">
        <f>111.38*(1-Z1%)</f>
        <v>111.38</v>
      </c>
      <c r="F613" s="2">
        <v>11</v>
      </c>
      <c r="G613" s="2"/>
    </row>
    <row r="614" spans="1:26" customHeight="1" ht="36" hidden="true" outlineLevel="3">
      <c r="A614" s="2" t="s">
        <v>1133</v>
      </c>
      <c r="B614" s="3" t="s">
        <v>1134</v>
      </c>
      <c r="C614" s="2"/>
      <c r="D614" s="2" t="s">
        <v>16</v>
      </c>
      <c r="E614" s="4">
        <f>111.38*(1-Z1%)</f>
        <v>111.38</v>
      </c>
      <c r="F614" s="2">
        <v>13</v>
      </c>
      <c r="G614" s="2"/>
    </row>
    <row r="615" spans="1:26" customHeight="1" ht="36" hidden="true" outlineLevel="3">
      <c r="A615" s="2" t="s">
        <v>1135</v>
      </c>
      <c r="B615" s="3" t="s">
        <v>1136</v>
      </c>
      <c r="C615" s="2"/>
      <c r="D615" s="2" t="s">
        <v>16</v>
      </c>
      <c r="E615" s="4">
        <f>111.38*(1-Z1%)</f>
        <v>111.38</v>
      </c>
      <c r="F615" s="2">
        <v>10</v>
      </c>
      <c r="G615" s="2"/>
    </row>
    <row r="616" spans="1:26" customHeight="1" ht="36" hidden="true" outlineLevel="3">
      <c r="A616" s="2" t="s">
        <v>1137</v>
      </c>
      <c r="B616" s="3" t="s">
        <v>1138</v>
      </c>
      <c r="C616" s="2"/>
      <c r="D616" s="2" t="s">
        <v>16</v>
      </c>
      <c r="E616" s="4">
        <f>222.75*(1-Z1%)</f>
        <v>222.75</v>
      </c>
      <c r="F616" s="2">
        <v>17</v>
      </c>
      <c r="G616" s="2"/>
    </row>
    <row r="617" spans="1:26" customHeight="1" ht="35" hidden="true" outlineLevel="3">
      <c r="A617" s="5" t="s">
        <v>1139</v>
      </c>
      <c r="B617" s="5"/>
      <c r="C617" s="5"/>
      <c r="D617" s="5"/>
      <c r="E617" s="5"/>
      <c r="F617" s="5"/>
      <c r="G617" s="5"/>
    </row>
    <row r="618" spans="1:26" customHeight="1" ht="36" hidden="true" outlineLevel="3">
      <c r="A618" s="2" t="s">
        <v>1140</v>
      </c>
      <c r="B618" s="3" t="s">
        <v>1141</v>
      </c>
      <c r="C618" s="2"/>
      <c r="D618" s="2" t="s">
        <v>16</v>
      </c>
      <c r="E618" s="4">
        <f>803.10*(1-Z1%)</f>
        <v>803.1</v>
      </c>
      <c r="F618" s="2">
        <v>2</v>
      </c>
      <c r="G618" s="2"/>
    </row>
    <row r="619" spans="1:26" customHeight="1" ht="35" hidden="true" outlineLevel="2">
      <c r="A619" s="5" t="s">
        <v>1142</v>
      </c>
      <c r="B619" s="5"/>
      <c r="C619" s="5"/>
      <c r="D619" s="5"/>
      <c r="E619" s="5"/>
      <c r="F619" s="5"/>
      <c r="G619" s="5"/>
    </row>
    <row r="620" spans="1:26" customHeight="1" ht="35" hidden="true" outlineLevel="3">
      <c r="A620" s="5" t="s">
        <v>1143</v>
      </c>
      <c r="B620" s="5"/>
      <c r="C620" s="5"/>
      <c r="D620" s="5"/>
      <c r="E620" s="5"/>
      <c r="F620" s="5"/>
      <c r="G620" s="5"/>
    </row>
    <row r="621" spans="1:26" customHeight="1" ht="18" hidden="true" outlineLevel="3">
      <c r="A621" s="2" t="s">
        <v>1144</v>
      </c>
      <c r="B621" s="3" t="s">
        <v>1145</v>
      </c>
      <c r="C621" s="2"/>
      <c r="D621" s="2" t="s">
        <v>16</v>
      </c>
      <c r="E621" s="4">
        <f>221.52*(1-Z1%)</f>
        <v>221.52</v>
      </c>
      <c r="F621" s="2">
        <v>7</v>
      </c>
      <c r="G621" s="2"/>
    </row>
    <row r="622" spans="1:26" customHeight="1" ht="36" hidden="true" outlineLevel="3">
      <c r="A622" s="2" t="s">
        <v>1146</v>
      </c>
      <c r="B622" s="3" t="s">
        <v>1147</v>
      </c>
      <c r="C622" s="2"/>
      <c r="D622" s="2" t="s">
        <v>16</v>
      </c>
      <c r="E622" s="4">
        <f>201.38*(1-Z1%)</f>
        <v>201.38</v>
      </c>
      <c r="F622" s="2">
        <v>2</v>
      </c>
      <c r="G622" s="2"/>
    </row>
    <row r="623" spans="1:26" customHeight="1" ht="36" hidden="true" outlineLevel="3">
      <c r="A623" s="2" t="s">
        <v>1148</v>
      </c>
      <c r="B623" s="3" t="s">
        <v>1149</v>
      </c>
      <c r="C623" s="2"/>
      <c r="D623" s="2" t="s">
        <v>16</v>
      </c>
      <c r="E623" s="4">
        <f>201.38*(1-Z1%)</f>
        <v>201.38</v>
      </c>
      <c r="F623" s="2">
        <v>7</v>
      </c>
      <c r="G623" s="2"/>
    </row>
    <row r="624" spans="1:26" customHeight="1" ht="36" hidden="true" outlineLevel="3">
      <c r="A624" s="2" t="s">
        <v>1150</v>
      </c>
      <c r="B624" s="3" t="s">
        <v>1151</v>
      </c>
      <c r="C624" s="2"/>
      <c r="D624" s="2" t="s">
        <v>16</v>
      </c>
      <c r="E624" s="4">
        <f>248.79*(1-Z1%)</f>
        <v>248.79</v>
      </c>
      <c r="F624" s="2">
        <v>7</v>
      </c>
      <c r="G624" s="2"/>
    </row>
    <row r="625" spans="1:26" customHeight="1" ht="36" hidden="true" outlineLevel="3">
      <c r="A625" s="2" t="s">
        <v>1152</v>
      </c>
      <c r="B625" s="3" t="s">
        <v>1153</v>
      </c>
      <c r="C625" s="2"/>
      <c r="D625" s="2" t="s">
        <v>16</v>
      </c>
      <c r="E625" s="4">
        <f>402.81*(1-Z1%)</f>
        <v>402.81</v>
      </c>
      <c r="F625" s="2">
        <v>9</v>
      </c>
      <c r="G625" s="2"/>
    </row>
    <row r="626" spans="1:26" customHeight="1" ht="36" hidden="true" outlineLevel="3">
      <c r="A626" s="2" t="s">
        <v>1154</v>
      </c>
      <c r="B626" s="3" t="s">
        <v>1153</v>
      </c>
      <c r="C626" s="2"/>
      <c r="D626" s="2" t="s">
        <v>16</v>
      </c>
      <c r="E626" s="4">
        <f>428.65*(1-Z1%)</f>
        <v>428.65</v>
      </c>
      <c r="F626" s="2">
        <v>10</v>
      </c>
      <c r="G626" s="2"/>
    </row>
    <row r="627" spans="1:26" customHeight="1" ht="36" hidden="true" outlineLevel="3">
      <c r="A627" s="2" t="s">
        <v>1155</v>
      </c>
      <c r="B627" s="3" t="s">
        <v>1156</v>
      </c>
      <c r="C627" s="2"/>
      <c r="D627" s="2" t="s">
        <v>16</v>
      </c>
      <c r="E627" s="4">
        <f>258.64*(1-Z1%)</f>
        <v>258.64</v>
      </c>
      <c r="F627" s="2">
        <v>3</v>
      </c>
      <c r="G627" s="2"/>
    </row>
    <row r="628" spans="1:26" customHeight="1" ht="36" hidden="true" outlineLevel="3">
      <c r="A628" s="2" t="s">
        <v>1157</v>
      </c>
      <c r="B628" s="3" t="s">
        <v>1158</v>
      </c>
      <c r="C628" s="2"/>
      <c r="D628" s="2" t="s">
        <v>16</v>
      </c>
      <c r="E628" s="4">
        <f>646.51*(1-Z1%)</f>
        <v>646.51</v>
      </c>
      <c r="F628" s="2">
        <v>5</v>
      </c>
      <c r="G628" s="2"/>
    </row>
    <row r="629" spans="1:26" customHeight="1" ht="36" hidden="true" outlineLevel="3">
      <c r="A629" s="2" t="s">
        <v>1159</v>
      </c>
      <c r="B629" s="3" t="s">
        <v>1160</v>
      </c>
      <c r="C629" s="2"/>
      <c r="D629" s="2" t="s">
        <v>16</v>
      </c>
      <c r="E629" s="4">
        <f>86.63*(1-Z1%)</f>
        <v>86.63</v>
      </c>
      <c r="F629" s="2">
        <v>5</v>
      </c>
      <c r="G629" s="2"/>
    </row>
    <row r="630" spans="1:26" customHeight="1" ht="36" hidden="true" outlineLevel="3">
      <c r="A630" s="2" t="s">
        <v>1161</v>
      </c>
      <c r="B630" s="3" t="s">
        <v>1162</v>
      </c>
      <c r="C630" s="2"/>
      <c r="D630" s="2" t="s">
        <v>16</v>
      </c>
      <c r="E630" s="4">
        <f>86.63*(1-Z1%)</f>
        <v>86.63</v>
      </c>
      <c r="F630" s="2">
        <v>11</v>
      </c>
      <c r="G630" s="2"/>
    </row>
    <row r="631" spans="1:26" customHeight="1" ht="36" hidden="true" outlineLevel="3">
      <c r="A631" s="2" t="s">
        <v>1163</v>
      </c>
      <c r="B631" s="3" t="s">
        <v>1164</v>
      </c>
      <c r="C631" s="2"/>
      <c r="D631" s="2" t="s">
        <v>16</v>
      </c>
      <c r="E631" s="4">
        <f>86.63*(1-Z1%)</f>
        <v>86.63</v>
      </c>
      <c r="F631" s="2">
        <v>10</v>
      </c>
      <c r="G631" s="2"/>
    </row>
    <row r="632" spans="1:26" customHeight="1" ht="18" hidden="true" outlineLevel="3">
      <c r="A632" s="2" t="s">
        <v>1165</v>
      </c>
      <c r="B632" s="3" t="s">
        <v>1166</v>
      </c>
      <c r="C632" s="2"/>
      <c r="D632" s="2" t="s">
        <v>16</v>
      </c>
      <c r="E632" s="4">
        <f>197.07*(1-Z1%)</f>
        <v>197.07</v>
      </c>
      <c r="F632" s="2">
        <v>6</v>
      </c>
      <c r="G632" s="2"/>
    </row>
    <row r="633" spans="1:26" customHeight="1" ht="36" hidden="true" outlineLevel="3">
      <c r="A633" s="2" t="s">
        <v>1167</v>
      </c>
      <c r="B633" s="3" t="s">
        <v>1168</v>
      </c>
      <c r="C633" s="2"/>
      <c r="D633" s="2" t="s">
        <v>16</v>
      </c>
      <c r="E633" s="4">
        <f>617.76*(1-Z1%)</f>
        <v>617.76</v>
      </c>
      <c r="F633" s="2">
        <v>4</v>
      </c>
      <c r="G633" s="2"/>
    </row>
    <row r="634" spans="1:26" customHeight="1" ht="36" hidden="true" outlineLevel="3">
      <c r="A634" s="2" t="s">
        <v>1169</v>
      </c>
      <c r="B634" s="3" t="s">
        <v>1168</v>
      </c>
      <c r="C634" s="2"/>
      <c r="D634" s="2" t="s">
        <v>16</v>
      </c>
      <c r="E634" s="4">
        <f>603.40*(1-Z1%)</f>
        <v>603.4</v>
      </c>
      <c r="F634" s="2">
        <v>5</v>
      </c>
      <c r="G634" s="2"/>
    </row>
    <row r="635" spans="1:26" customHeight="1" ht="36" hidden="true" outlineLevel="3">
      <c r="A635" s="2" t="s">
        <v>1170</v>
      </c>
      <c r="B635" s="3" t="s">
        <v>1171</v>
      </c>
      <c r="C635" s="2"/>
      <c r="D635" s="2" t="s">
        <v>16</v>
      </c>
      <c r="E635" s="4">
        <f>574.10*(1-Z1%)</f>
        <v>574.1</v>
      </c>
      <c r="F635" s="2">
        <v>5</v>
      </c>
      <c r="G635" s="2"/>
    </row>
    <row r="636" spans="1:26" customHeight="1" ht="36" hidden="true" outlineLevel="3">
      <c r="A636" s="2" t="s">
        <v>1172</v>
      </c>
      <c r="B636" s="3" t="s">
        <v>1173</v>
      </c>
      <c r="C636" s="2"/>
      <c r="D636" s="2" t="s">
        <v>16</v>
      </c>
      <c r="E636" s="4">
        <f>358.80*(1-Z1%)</f>
        <v>358.8</v>
      </c>
      <c r="F636" s="2">
        <v>4</v>
      </c>
      <c r="G636" s="2"/>
    </row>
    <row r="637" spans="1:26" customHeight="1" ht="36" hidden="true" outlineLevel="3">
      <c r="A637" s="2" t="s">
        <v>1174</v>
      </c>
      <c r="B637" s="3" t="s">
        <v>1175</v>
      </c>
      <c r="C637" s="2"/>
      <c r="D637" s="2" t="s">
        <v>16</v>
      </c>
      <c r="E637" s="4">
        <f>334.13*(1-Z1%)</f>
        <v>334.13</v>
      </c>
      <c r="F637" s="2">
        <v>2</v>
      </c>
      <c r="G637" s="2"/>
    </row>
    <row r="638" spans="1:26" customHeight="1" ht="36" hidden="true" outlineLevel="3">
      <c r="A638" s="2" t="s">
        <v>1176</v>
      </c>
      <c r="B638" s="3" t="s">
        <v>1177</v>
      </c>
      <c r="C638" s="2"/>
      <c r="D638" s="2" t="s">
        <v>16</v>
      </c>
      <c r="E638" s="4">
        <f>394.77*(1-Z1%)</f>
        <v>394.77</v>
      </c>
      <c r="F638" s="2">
        <v>11</v>
      </c>
      <c r="G638" s="2"/>
    </row>
    <row r="639" spans="1:26" customHeight="1" ht="35" hidden="true" outlineLevel="3">
      <c r="A639" s="5" t="s">
        <v>1178</v>
      </c>
      <c r="B639" s="5"/>
      <c r="C639" s="5"/>
      <c r="D639" s="5"/>
      <c r="E639" s="5"/>
      <c r="F639" s="5"/>
      <c r="G639" s="5"/>
    </row>
    <row r="640" spans="1:26" customHeight="1" ht="35" hidden="true" outlineLevel="4">
      <c r="A640" s="5" t="s">
        <v>1179</v>
      </c>
      <c r="B640" s="5"/>
      <c r="C640" s="5"/>
      <c r="D640" s="5"/>
      <c r="E640" s="5"/>
      <c r="F640" s="5"/>
      <c r="G640" s="5"/>
    </row>
    <row r="641" spans="1:26" customHeight="1" ht="36" hidden="true" outlineLevel="4">
      <c r="A641" s="2" t="s">
        <v>1180</v>
      </c>
      <c r="B641" s="3" t="s">
        <v>1181</v>
      </c>
      <c r="C641" s="2"/>
      <c r="D641" s="2" t="s">
        <v>16</v>
      </c>
      <c r="E641" s="4">
        <f>96.90*(1-Z1%)</f>
        <v>96.9</v>
      </c>
      <c r="F641" s="2">
        <v>1</v>
      </c>
      <c r="G641" s="2"/>
    </row>
    <row r="642" spans="1:26" customHeight="1" ht="36" hidden="true" outlineLevel="4">
      <c r="A642" s="2" t="s">
        <v>1182</v>
      </c>
      <c r="B642" s="3" t="s">
        <v>1183</v>
      </c>
      <c r="C642" s="2"/>
      <c r="D642" s="2" t="s">
        <v>16</v>
      </c>
      <c r="E642" s="4">
        <f>75.60*(1-Z1%)</f>
        <v>75.6</v>
      </c>
      <c r="F642" s="2">
        <v>3</v>
      </c>
      <c r="G642" s="2"/>
    </row>
    <row r="643" spans="1:26" customHeight="1" ht="36" hidden="true" outlineLevel="4">
      <c r="A643" s="2" t="s">
        <v>1184</v>
      </c>
      <c r="B643" s="3" t="s">
        <v>1185</v>
      </c>
      <c r="C643" s="2"/>
      <c r="D643" s="2" t="s">
        <v>16</v>
      </c>
      <c r="E643" s="4">
        <f>40.84*(1-Z1%)</f>
        <v>40.84</v>
      </c>
      <c r="F643" s="2">
        <v>5</v>
      </c>
      <c r="G643" s="2"/>
    </row>
    <row r="644" spans="1:26" customHeight="1" ht="36" hidden="true" outlineLevel="4">
      <c r="A644" s="2" t="s">
        <v>1186</v>
      </c>
      <c r="B644" s="3" t="s">
        <v>1187</v>
      </c>
      <c r="C644" s="2"/>
      <c r="D644" s="2" t="s">
        <v>16</v>
      </c>
      <c r="E644" s="4">
        <f>55.69*(1-Z1%)</f>
        <v>55.69</v>
      </c>
      <c r="F644" s="2">
        <v>1</v>
      </c>
      <c r="G644" s="2"/>
    </row>
    <row r="645" spans="1:26" customHeight="1" ht="36" hidden="true" outlineLevel="4">
      <c r="A645" s="2" t="s">
        <v>1188</v>
      </c>
      <c r="B645" s="3" t="s">
        <v>1189</v>
      </c>
      <c r="C645" s="2"/>
      <c r="D645" s="2" t="s">
        <v>16</v>
      </c>
      <c r="E645" s="4">
        <f>61.88*(1-Z1%)</f>
        <v>61.88</v>
      </c>
      <c r="F645" s="2">
        <v>3</v>
      </c>
      <c r="G645" s="2"/>
    </row>
    <row r="646" spans="1:26" customHeight="1" ht="36" hidden="true" outlineLevel="4">
      <c r="A646" s="2" t="s">
        <v>1190</v>
      </c>
      <c r="B646" s="3" t="s">
        <v>1191</v>
      </c>
      <c r="C646" s="2"/>
      <c r="D646" s="2" t="s">
        <v>16</v>
      </c>
      <c r="E646" s="4">
        <f>61.88*(1-Z1%)</f>
        <v>61.88</v>
      </c>
      <c r="F646" s="2">
        <v>10</v>
      </c>
      <c r="G646" s="2"/>
    </row>
    <row r="647" spans="1:26" customHeight="1" ht="36" hidden="true" outlineLevel="4">
      <c r="A647" s="2" t="s">
        <v>1192</v>
      </c>
      <c r="B647" s="3" t="s">
        <v>1193</v>
      </c>
      <c r="C647" s="2"/>
      <c r="D647" s="2" t="s">
        <v>16</v>
      </c>
      <c r="E647" s="4">
        <f>68.07*(1-Z1%)</f>
        <v>68.07</v>
      </c>
      <c r="F647" s="2">
        <v>6</v>
      </c>
      <c r="G647" s="2"/>
    </row>
    <row r="648" spans="1:26" customHeight="1" ht="18" hidden="true" outlineLevel="4">
      <c r="A648" s="2" t="s">
        <v>1194</v>
      </c>
      <c r="B648" s="3" t="s">
        <v>1195</v>
      </c>
      <c r="C648" s="2"/>
      <c r="D648" s="2" t="s">
        <v>16</v>
      </c>
      <c r="E648" s="4">
        <f>37.13*(1-Z1%)</f>
        <v>37.13</v>
      </c>
      <c r="F648" s="2">
        <v>13</v>
      </c>
      <c r="G648" s="2"/>
    </row>
    <row r="649" spans="1:26" customHeight="1" ht="18" hidden="true" outlineLevel="4">
      <c r="A649" s="2" t="s">
        <v>1196</v>
      </c>
      <c r="B649" s="3" t="s">
        <v>1197</v>
      </c>
      <c r="C649" s="2"/>
      <c r="D649" s="2" t="s">
        <v>16</v>
      </c>
      <c r="E649" s="4">
        <f>37.13*(1-Z1%)</f>
        <v>37.13</v>
      </c>
      <c r="F649" s="2">
        <v>13</v>
      </c>
      <c r="G649" s="2"/>
    </row>
    <row r="650" spans="1:26" customHeight="1" ht="18" hidden="true" outlineLevel="4">
      <c r="A650" s="2" t="s">
        <v>1198</v>
      </c>
      <c r="B650" s="3" t="s">
        <v>1199</v>
      </c>
      <c r="C650" s="2"/>
      <c r="D650" s="2" t="s">
        <v>16</v>
      </c>
      <c r="E650" s="4">
        <f>37.13*(1-Z1%)</f>
        <v>37.13</v>
      </c>
      <c r="F650" s="2">
        <v>13</v>
      </c>
      <c r="G650" s="2"/>
    </row>
    <row r="651" spans="1:26" customHeight="1" ht="18" hidden="true" outlineLevel="4">
      <c r="A651" s="2" t="s">
        <v>1200</v>
      </c>
      <c r="B651" s="3" t="s">
        <v>1201</v>
      </c>
      <c r="C651" s="2"/>
      <c r="D651" s="2" t="s">
        <v>16</v>
      </c>
      <c r="E651" s="4">
        <f>43.32*(1-Z1%)</f>
        <v>43.32</v>
      </c>
      <c r="F651" s="2">
        <v>13</v>
      </c>
      <c r="G651" s="2"/>
    </row>
    <row r="652" spans="1:26" customHeight="1" ht="18" hidden="true" outlineLevel="4">
      <c r="A652" s="2" t="s">
        <v>1202</v>
      </c>
      <c r="B652" s="3" t="s">
        <v>1203</v>
      </c>
      <c r="C652" s="2"/>
      <c r="D652" s="2" t="s">
        <v>16</v>
      </c>
      <c r="E652" s="4">
        <f>43.32*(1-Z1%)</f>
        <v>43.32</v>
      </c>
      <c r="F652" s="2">
        <v>13</v>
      </c>
      <c r="G652" s="2"/>
    </row>
    <row r="653" spans="1:26" customHeight="1" ht="18" hidden="true" outlineLevel="4">
      <c r="A653" s="2" t="s">
        <v>1204</v>
      </c>
      <c r="B653" s="3" t="s">
        <v>1205</v>
      </c>
      <c r="C653" s="2"/>
      <c r="D653" s="2" t="s">
        <v>16</v>
      </c>
      <c r="E653" s="4">
        <f>43.32*(1-Z1%)</f>
        <v>43.32</v>
      </c>
      <c r="F653" s="2">
        <v>13</v>
      </c>
      <c r="G653" s="2"/>
    </row>
    <row r="654" spans="1:26" customHeight="1" ht="35" hidden="true" outlineLevel="4">
      <c r="A654" s="5" t="s">
        <v>1206</v>
      </c>
      <c r="B654" s="5"/>
      <c r="C654" s="5"/>
      <c r="D654" s="5"/>
      <c r="E654" s="5"/>
      <c r="F654" s="5"/>
      <c r="G654" s="5"/>
    </row>
    <row r="655" spans="1:26" customHeight="1" ht="18" hidden="true" outlineLevel="4">
      <c r="A655" s="2" t="s">
        <v>1207</v>
      </c>
      <c r="B655" s="3" t="s">
        <v>1208</v>
      </c>
      <c r="C655" s="2"/>
      <c r="D655" s="2" t="s">
        <v>16</v>
      </c>
      <c r="E655" s="4">
        <f>58.78*(1-Z1%)</f>
        <v>58.78</v>
      </c>
      <c r="F655" s="2">
        <v>1</v>
      </c>
      <c r="G655" s="2"/>
    </row>
    <row r="656" spans="1:26" customHeight="1" ht="36" hidden="true" outlineLevel="4">
      <c r="A656" s="2" t="s">
        <v>1209</v>
      </c>
      <c r="B656" s="3" t="s">
        <v>1210</v>
      </c>
      <c r="C656" s="2"/>
      <c r="D656" s="2" t="s">
        <v>16</v>
      </c>
      <c r="E656" s="4">
        <f>38.01*(1-Z1%)</f>
        <v>38.01</v>
      </c>
      <c r="F656" s="2">
        <v>11</v>
      </c>
      <c r="G656" s="2"/>
    </row>
    <row r="657" spans="1:26" customHeight="1" ht="35" hidden="true" outlineLevel="3">
      <c r="A657" s="5" t="s">
        <v>1211</v>
      </c>
      <c r="B657" s="5"/>
      <c r="C657" s="5"/>
      <c r="D657" s="5"/>
      <c r="E657" s="5"/>
      <c r="F657" s="5"/>
      <c r="G657" s="5"/>
    </row>
    <row r="658" spans="1:26" customHeight="1" ht="35" hidden="true" outlineLevel="4">
      <c r="A658" s="5" t="s">
        <v>1212</v>
      </c>
      <c r="B658" s="5"/>
      <c r="C658" s="5"/>
      <c r="D658" s="5"/>
      <c r="E658" s="5"/>
      <c r="F658" s="5"/>
      <c r="G658" s="5"/>
    </row>
    <row r="659" spans="1:26" customHeight="1" ht="36" hidden="true" outlineLevel="4">
      <c r="A659" s="2" t="s">
        <v>1213</v>
      </c>
      <c r="B659" s="3" t="s">
        <v>1214</v>
      </c>
      <c r="C659" s="2"/>
      <c r="D659" s="2" t="s">
        <v>16</v>
      </c>
      <c r="E659" s="4">
        <f>56.37*(1-Z1%)</f>
        <v>56.37</v>
      </c>
      <c r="F659" s="2">
        <v>12</v>
      </c>
      <c r="G659" s="2"/>
    </row>
    <row r="660" spans="1:26" customHeight="1" ht="36" hidden="true" outlineLevel="4">
      <c r="A660" s="2" t="s">
        <v>1215</v>
      </c>
      <c r="B660" s="3" t="s">
        <v>1216</v>
      </c>
      <c r="C660" s="2"/>
      <c r="D660" s="2" t="s">
        <v>16</v>
      </c>
      <c r="E660" s="4">
        <f>135.00*(1-Z1%)</f>
        <v>135</v>
      </c>
      <c r="F660" s="2">
        <v>17</v>
      </c>
      <c r="G660" s="2"/>
    </row>
    <row r="661" spans="1:26" customHeight="1" ht="18" hidden="true" outlineLevel="4">
      <c r="A661" s="2" t="s">
        <v>1217</v>
      </c>
      <c r="B661" s="3" t="s">
        <v>1218</v>
      </c>
      <c r="C661" s="2"/>
      <c r="D661" s="2" t="s">
        <v>16</v>
      </c>
      <c r="E661" s="4">
        <f>123.75*(1-Z1%)</f>
        <v>123.75</v>
      </c>
      <c r="F661" s="2">
        <v>4</v>
      </c>
      <c r="G661" s="2"/>
    </row>
    <row r="662" spans="1:26" customHeight="1" ht="18" hidden="true" outlineLevel="4">
      <c r="A662" s="2" t="s">
        <v>1219</v>
      </c>
      <c r="B662" s="3" t="s">
        <v>1220</v>
      </c>
      <c r="C662" s="2"/>
      <c r="D662" s="2" t="s">
        <v>16</v>
      </c>
      <c r="E662" s="4">
        <f>20.08*(1-Z1%)</f>
        <v>20.08</v>
      </c>
      <c r="F662" s="2">
        <v>33</v>
      </c>
      <c r="G662" s="2"/>
    </row>
    <row r="663" spans="1:26" customHeight="1" ht="18" hidden="true" outlineLevel="4">
      <c r="A663" s="2" t="s">
        <v>1221</v>
      </c>
      <c r="B663" s="3" t="s">
        <v>1222</v>
      </c>
      <c r="C663" s="2"/>
      <c r="D663" s="2" t="s">
        <v>16</v>
      </c>
      <c r="E663" s="4">
        <f>129.38*(1-Z1%)</f>
        <v>129.38</v>
      </c>
      <c r="F663" s="2">
        <v>8</v>
      </c>
      <c r="G663" s="2"/>
    </row>
    <row r="664" spans="1:26" customHeight="1" ht="18" hidden="true" outlineLevel="4">
      <c r="A664" s="2" t="s">
        <v>1223</v>
      </c>
      <c r="B664" s="3" t="s">
        <v>1222</v>
      </c>
      <c r="C664" s="2"/>
      <c r="D664" s="2" t="s">
        <v>16</v>
      </c>
      <c r="E664" s="4">
        <f>49.50*(1-Z1%)</f>
        <v>49.5</v>
      </c>
      <c r="F664" s="2">
        <v>3</v>
      </c>
      <c r="G664" s="2"/>
    </row>
    <row r="665" spans="1:26" customHeight="1" ht="18" hidden="true" outlineLevel="4">
      <c r="A665" s="2" t="s">
        <v>1224</v>
      </c>
      <c r="B665" s="3" t="s">
        <v>1225</v>
      </c>
      <c r="C665" s="2"/>
      <c r="D665" s="2" t="s">
        <v>16</v>
      </c>
      <c r="E665" s="4">
        <f>99.00*(1-Z1%)</f>
        <v>99</v>
      </c>
      <c r="F665" s="2">
        <v>10</v>
      </c>
      <c r="G665" s="2"/>
    </row>
    <row r="666" spans="1:26" customHeight="1" ht="36" hidden="true" outlineLevel="4">
      <c r="A666" s="2" t="s">
        <v>1226</v>
      </c>
      <c r="B666" s="3" t="s">
        <v>1227</v>
      </c>
      <c r="C666" s="2"/>
      <c r="D666" s="2" t="s">
        <v>16</v>
      </c>
      <c r="E666" s="4">
        <f>99.00*(1-Z1%)</f>
        <v>99</v>
      </c>
      <c r="F666" s="2">
        <v>13</v>
      </c>
      <c r="G666" s="2"/>
    </row>
    <row r="667" spans="1:26" customHeight="1" ht="18" hidden="true" outlineLevel="4">
      <c r="A667" s="2" t="s">
        <v>1228</v>
      </c>
      <c r="B667" s="3" t="s">
        <v>1229</v>
      </c>
      <c r="C667" s="2"/>
      <c r="D667" s="2" t="s">
        <v>16</v>
      </c>
      <c r="E667" s="4">
        <f>111.38*(1-Z1%)</f>
        <v>111.38</v>
      </c>
      <c r="F667" s="2">
        <v>10</v>
      </c>
      <c r="G667" s="2"/>
    </row>
    <row r="668" spans="1:26" customHeight="1" ht="18" hidden="true" outlineLevel="4">
      <c r="A668" s="2" t="s">
        <v>1230</v>
      </c>
      <c r="B668" s="3" t="s">
        <v>1231</v>
      </c>
      <c r="C668" s="2"/>
      <c r="D668" s="2" t="s">
        <v>16</v>
      </c>
      <c r="E668" s="4">
        <f>148.50*(1-Z1%)</f>
        <v>148.5</v>
      </c>
      <c r="F668" s="2">
        <v>5</v>
      </c>
      <c r="G668" s="2"/>
    </row>
    <row r="669" spans="1:26" customHeight="1" ht="18" hidden="true" outlineLevel="4">
      <c r="A669" s="2" t="s">
        <v>1232</v>
      </c>
      <c r="B669" s="3" t="s">
        <v>1233</v>
      </c>
      <c r="C669" s="2"/>
      <c r="D669" s="2" t="s">
        <v>16</v>
      </c>
      <c r="E669" s="4">
        <f>253.13*(1-Z1%)</f>
        <v>253.13</v>
      </c>
      <c r="F669" s="2">
        <v>1</v>
      </c>
      <c r="G669" s="2"/>
    </row>
    <row r="670" spans="1:26" customHeight="1" ht="18" hidden="true" outlineLevel="4">
      <c r="A670" s="2" t="s">
        <v>1234</v>
      </c>
      <c r="B670" s="3" t="s">
        <v>1233</v>
      </c>
      <c r="C670" s="2"/>
      <c r="D670" s="2" t="s">
        <v>16</v>
      </c>
      <c r="E670" s="4">
        <f>111.38*(1-Z1%)</f>
        <v>111.38</v>
      </c>
      <c r="F670" s="2">
        <v>14</v>
      </c>
      <c r="G670" s="2"/>
    </row>
    <row r="671" spans="1:26" customHeight="1" ht="36" hidden="true" outlineLevel="4">
      <c r="A671" s="2" t="s">
        <v>1235</v>
      </c>
      <c r="B671" s="3" t="s">
        <v>1236</v>
      </c>
      <c r="C671" s="2"/>
      <c r="D671" s="2" t="s">
        <v>16</v>
      </c>
      <c r="E671" s="4">
        <f>185.63*(1-Z1%)</f>
        <v>185.63</v>
      </c>
      <c r="F671" s="2">
        <v>5</v>
      </c>
      <c r="G671" s="2"/>
    </row>
    <row r="672" spans="1:26" customHeight="1" ht="18" hidden="true" outlineLevel="4">
      <c r="A672" s="2" t="s">
        <v>1237</v>
      </c>
      <c r="B672" s="3" t="s">
        <v>1238</v>
      </c>
      <c r="C672" s="2"/>
      <c r="D672" s="2" t="s">
        <v>16</v>
      </c>
      <c r="E672" s="4">
        <f>92.82*(1-Z1%)</f>
        <v>92.82</v>
      </c>
      <c r="F672" s="2">
        <v>2</v>
      </c>
      <c r="G672" s="2"/>
    </row>
    <row r="673" spans="1:26" customHeight="1" ht="18" hidden="true" outlineLevel="4">
      <c r="A673" s="2" t="s">
        <v>1239</v>
      </c>
      <c r="B673" s="3" t="s">
        <v>1240</v>
      </c>
      <c r="C673" s="2"/>
      <c r="D673" s="2" t="s">
        <v>16</v>
      </c>
      <c r="E673" s="4">
        <f>136.13*(1-Z1%)</f>
        <v>136.13</v>
      </c>
      <c r="F673" s="2">
        <v>9</v>
      </c>
      <c r="G673" s="2"/>
    </row>
    <row r="674" spans="1:26" customHeight="1" ht="36" hidden="true" outlineLevel="4">
      <c r="A674" s="2" t="s">
        <v>1241</v>
      </c>
      <c r="B674" s="3" t="s">
        <v>1242</v>
      </c>
      <c r="C674" s="2"/>
      <c r="D674" s="2" t="s">
        <v>16</v>
      </c>
      <c r="E674" s="4">
        <f>146.25*(1-Z1%)</f>
        <v>146.25</v>
      </c>
      <c r="F674" s="2">
        <v>13</v>
      </c>
      <c r="G674" s="2"/>
    </row>
    <row r="675" spans="1:26" customHeight="1" ht="36" hidden="true" outlineLevel="4">
      <c r="A675" s="2" t="s">
        <v>1243</v>
      </c>
      <c r="B675" s="3" t="s">
        <v>1244</v>
      </c>
      <c r="C675" s="2"/>
      <c r="D675" s="2" t="s">
        <v>16</v>
      </c>
      <c r="E675" s="4">
        <f>173.25*(1-Z1%)</f>
        <v>173.25</v>
      </c>
      <c r="F675" s="2">
        <v>7</v>
      </c>
      <c r="G675" s="2"/>
    </row>
    <row r="676" spans="1:26" customHeight="1" ht="18" hidden="true" outlineLevel="4">
      <c r="A676" s="2" t="s">
        <v>1245</v>
      </c>
      <c r="B676" s="3" t="s">
        <v>1246</v>
      </c>
      <c r="C676" s="2"/>
      <c r="D676" s="2" t="s">
        <v>16</v>
      </c>
      <c r="E676" s="4">
        <f>68.07*(1-Z1%)</f>
        <v>68.07</v>
      </c>
      <c r="F676" s="2">
        <v>10</v>
      </c>
      <c r="G676" s="2"/>
    </row>
    <row r="677" spans="1:26" customHeight="1" ht="36" hidden="true" outlineLevel="4">
      <c r="A677" s="2" t="s">
        <v>1247</v>
      </c>
      <c r="B677" s="3" t="s">
        <v>1248</v>
      </c>
      <c r="C677" s="2"/>
      <c r="D677" s="2" t="s">
        <v>16</v>
      </c>
      <c r="E677" s="4">
        <f>68.07*(1-Z1%)</f>
        <v>68.07</v>
      </c>
      <c r="F677" s="2">
        <v>40</v>
      </c>
      <c r="G677" s="2"/>
    </row>
    <row r="678" spans="1:26" customHeight="1" ht="36" hidden="true" outlineLevel="4">
      <c r="A678" s="2" t="s">
        <v>1249</v>
      </c>
      <c r="B678" s="3" t="s">
        <v>1250</v>
      </c>
      <c r="C678" s="2"/>
      <c r="D678" s="2" t="s">
        <v>16</v>
      </c>
      <c r="E678" s="4">
        <f>61.88*(1-Z1%)</f>
        <v>61.88</v>
      </c>
      <c r="F678" s="2">
        <v>17</v>
      </c>
      <c r="G678" s="2"/>
    </row>
    <row r="679" spans="1:26" customHeight="1" ht="36" hidden="true" outlineLevel="4">
      <c r="A679" s="2" t="s">
        <v>1251</v>
      </c>
      <c r="B679" s="3" t="s">
        <v>1252</v>
      </c>
      <c r="C679" s="2"/>
      <c r="D679" s="2" t="s">
        <v>16</v>
      </c>
      <c r="E679" s="4">
        <f>29.33*(1-Z1%)</f>
        <v>29.33</v>
      </c>
      <c r="F679" s="2">
        <v>90</v>
      </c>
      <c r="G679" s="2"/>
    </row>
    <row r="680" spans="1:26" customHeight="1" ht="18" hidden="true" outlineLevel="4">
      <c r="A680" s="2" t="s">
        <v>1253</v>
      </c>
      <c r="B680" s="3" t="s">
        <v>1254</v>
      </c>
      <c r="C680" s="2"/>
      <c r="D680" s="2" t="s">
        <v>16</v>
      </c>
      <c r="E680" s="4">
        <f>23.63*(1-Z1%)</f>
        <v>23.63</v>
      </c>
      <c r="F680" s="2">
        <v>5</v>
      </c>
      <c r="G680" s="2"/>
    </row>
    <row r="681" spans="1:26" customHeight="1" ht="36" hidden="true" outlineLevel="4">
      <c r="A681" s="2" t="s">
        <v>1255</v>
      </c>
      <c r="B681" s="3" t="s">
        <v>1256</v>
      </c>
      <c r="C681" s="2"/>
      <c r="D681" s="2" t="s">
        <v>16</v>
      </c>
      <c r="E681" s="4">
        <f>29.66*(1-Z1%)</f>
        <v>29.66</v>
      </c>
      <c r="F681" s="2">
        <v>90</v>
      </c>
      <c r="G681" s="2"/>
    </row>
    <row r="682" spans="1:26" customHeight="1" ht="36" hidden="true" outlineLevel="4">
      <c r="A682" s="2" t="s">
        <v>1257</v>
      </c>
      <c r="B682" s="3" t="s">
        <v>1258</v>
      </c>
      <c r="C682" s="2"/>
      <c r="D682" s="2" t="s">
        <v>16</v>
      </c>
      <c r="E682" s="4">
        <f>67.50*(1-Z1%)</f>
        <v>67.5</v>
      </c>
      <c r="F682" s="2">
        <v>2</v>
      </c>
      <c r="G682" s="2"/>
    </row>
    <row r="683" spans="1:26" customHeight="1" ht="35" hidden="true" outlineLevel="3">
      <c r="A683" s="5" t="s">
        <v>1259</v>
      </c>
      <c r="B683" s="5"/>
      <c r="C683" s="5"/>
      <c r="D683" s="5"/>
      <c r="E683" s="5"/>
      <c r="F683" s="5"/>
      <c r="G683" s="5"/>
    </row>
    <row r="684" spans="1:26" customHeight="1" ht="18" hidden="true" outlineLevel="3">
      <c r="A684" s="2" t="s">
        <v>1260</v>
      </c>
      <c r="B684" s="3" t="s">
        <v>1261</v>
      </c>
      <c r="C684" s="2"/>
      <c r="D684" s="2" t="s">
        <v>16</v>
      </c>
      <c r="E684" s="4">
        <f>349.78*(1-Z1%)</f>
        <v>349.78</v>
      </c>
      <c r="F684" s="2">
        <v>1</v>
      </c>
      <c r="G684" s="2"/>
    </row>
    <row r="685" spans="1:26" customHeight="1" ht="35" hidden="true" outlineLevel="2">
      <c r="A685" s="5" t="s">
        <v>1262</v>
      </c>
      <c r="B685" s="5"/>
      <c r="C685" s="5"/>
      <c r="D685" s="5"/>
      <c r="E685" s="5"/>
      <c r="F685" s="5"/>
      <c r="G685" s="5"/>
    </row>
    <row r="686" spans="1:26" customHeight="1" ht="35" hidden="true" outlineLevel="3">
      <c r="A686" s="5" t="s">
        <v>1263</v>
      </c>
      <c r="B686" s="5"/>
      <c r="C686" s="5"/>
      <c r="D686" s="5"/>
      <c r="E686" s="5"/>
      <c r="F686" s="5"/>
      <c r="G686" s="5"/>
    </row>
    <row r="687" spans="1:26" customHeight="1" ht="18" hidden="true" outlineLevel="3">
      <c r="A687" s="2" t="s">
        <v>1264</v>
      </c>
      <c r="B687" s="3" t="s">
        <v>1265</v>
      </c>
      <c r="C687" s="2"/>
      <c r="D687" s="2" t="s">
        <v>16</v>
      </c>
      <c r="E687" s="4">
        <f>220.50*(1-Z1%)</f>
        <v>220.5</v>
      </c>
      <c r="F687" s="2">
        <v>2</v>
      </c>
      <c r="G687" s="2"/>
    </row>
    <row r="688" spans="1:26" customHeight="1" ht="18" hidden="true" outlineLevel="3">
      <c r="A688" s="2" t="s">
        <v>1266</v>
      </c>
      <c r="B688" s="3" t="s">
        <v>1267</v>
      </c>
      <c r="C688" s="2"/>
      <c r="D688" s="2" t="s">
        <v>16</v>
      </c>
      <c r="E688" s="4">
        <f>140.74*(1-Z1%)</f>
        <v>140.74</v>
      </c>
      <c r="F688" s="2">
        <v>2</v>
      </c>
      <c r="G688" s="2"/>
    </row>
    <row r="689" spans="1:26" customHeight="1" ht="18" hidden="true" outlineLevel="3">
      <c r="A689" s="2" t="s">
        <v>1268</v>
      </c>
      <c r="B689" s="3" t="s">
        <v>1269</v>
      </c>
      <c r="C689" s="2"/>
      <c r="D689" s="2" t="s">
        <v>16</v>
      </c>
      <c r="E689" s="4">
        <f>324.00*(1-Z1%)</f>
        <v>324</v>
      </c>
      <c r="F689" s="2">
        <v>1</v>
      </c>
      <c r="G689" s="2"/>
    </row>
    <row r="690" spans="1:26" customHeight="1" ht="18" hidden="true" outlineLevel="3">
      <c r="A690" s="2" t="s">
        <v>1270</v>
      </c>
      <c r="B690" s="3" t="s">
        <v>1271</v>
      </c>
      <c r="C690" s="2"/>
      <c r="D690" s="2" t="s">
        <v>16</v>
      </c>
      <c r="E690" s="4">
        <f>309.83*(1-Z1%)</f>
        <v>309.83</v>
      </c>
      <c r="F690" s="2">
        <v>1</v>
      </c>
      <c r="G690" s="2"/>
    </row>
    <row r="691" spans="1:26" customHeight="1" ht="35" hidden="true" outlineLevel="3">
      <c r="A691" s="5" t="s">
        <v>1272</v>
      </c>
      <c r="B691" s="5"/>
      <c r="C691" s="5"/>
      <c r="D691" s="5"/>
      <c r="E691" s="5"/>
      <c r="F691" s="5"/>
      <c r="G691" s="5"/>
    </row>
    <row r="692" spans="1:26" customHeight="1" ht="18" hidden="true" outlineLevel="3">
      <c r="A692" s="2" t="s">
        <v>1273</v>
      </c>
      <c r="B692" s="3" t="s">
        <v>1274</v>
      </c>
      <c r="C692" s="2"/>
      <c r="D692" s="2" t="s">
        <v>16</v>
      </c>
      <c r="E692" s="4">
        <f>205.54*(1-Z1%)</f>
        <v>205.54</v>
      </c>
      <c r="F692" s="2">
        <v>3</v>
      </c>
      <c r="G692" s="2"/>
    </row>
    <row r="693" spans="1:26" customHeight="1" ht="18" hidden="true" outlineLevel="3">
      <c r="A693" s="2" t="s">
        <v>1275</v>
      </c>
      <c r="B693" s="3" t="s">
        <v>1276</v>
      </c>
      <c r="C693" s="2"/>
      <c r="D693" s="2" t="s">
        <v>16</v>
      </c>
      <c r="E693" s="4">
        <f>69.47*(1-Z1%)</f>
        <v>69.47</v>
      </c>
      <c r="F693" s="2">
        <v>2</v>
      </c>
      <c r="G693" s="2"/>
    </row>
    <row r="694" spans="1:26" customHeight="1" ht="18" hidden="true" outlineLevel="3">
      <c r="A694" s="2" t="s">
        <v>1277</v>
      </c>
      <c r="B694" s="3" t="s">
        <v>1278</v>
      </c>
      <c r="C694" s="2"/>
      <c r="D694" s="2" t="s">
        <v>16</v>
      </c>
      <c r="E694" s="4">
        <f>88.70*(1-Z1%)</f>
        <v>88.7</v>
      </c>
      <c r="F694" s="2">
        <v>2</v>
      </c>
      <c r="G694" s="2"/>
    </row>
    <row r="695" spans="1:26" customHeight="1" ht="18" hidden="true" outlineLevel="3">
      <c r="A695" s="2" t="s">
        <v>1279</v>
      </c>
      <c r="B695" s="3" t="s">
        <v>1280</v>
      </c>
      <c r="C695" s="2"/>
      <c r="D695" s="2" t="s">
        <v>16</v>
      </c>
      <c r="E695" s="4">
        <f>104.63*(1-Z1%)</f>
        <v>104.63</v>
      </c>
      <c r="F695" s="2">
        <v>2</v>
      </c>
      <c r="G695" s="2"/>
    </row>
    <row r="696" spans="1:26" customHeight="1" ht="18" hidden="true" outlineLevel="3">
      <c r="A696" s="2" t="s">
        <v>1281</v>
      </c>
      <c r="B696" s="3" t="s">
        <v>1282</v>
      </c>
      <c r="C696" s="2"/>
      <c r="D696" s="2" t="s">
        <v>16</v>
      </c>
      <c r="E696" s="4">
        <f>99.00*(1-Z1%)</f>
        <v>99</v>
      </c>
      <c r="F696" s="2">
        <v>2</v>
      </c>
      <c r="G696" s="2"/>
    </row>
    <row r="697" spans="1:26" customHeight="1" ht="18" hidden="true" outlineLevel="3">
      <c r="A697" s="2" t="s">
        <v>1283</v>
      </c>
      <c r="B697" s="3" t="s">
        <v>1284</v>
      </c>
      <c r="C697" s="2"/>
      <c r="D697" s="2" t="s">
        <v>16</v>
      </c>
      <c r="E697" s="4">
        <f>87.75*(1-Z1%)</f>
        <v>87.75</v>
      </c>
      <c r="F697" s="2">
        <v>2</v>
      </c>
      <c r="G697" s="2"/>
    </row>
    <row r="698" spans="1:26" customHeight="1" ht="18" hidden="true" outlineLevel="3">
      <c r="A698" s="2" t="s">
        <v>1285</v>
      </c>
      <c r="B698" s="3" t="s">
        <v>1286</v>
      </c>
      <c r="C698" s="2"/>
      <c r="D698" s="2" t="s">
        <v>16</v>
      </c>
      <c r="E698" s="4">
        <f>376.20*(1-Z1%)</f>
        <v>376.2</v>
      </c>
      <c r="F698" s="2">
        <v>2</v>
      </c>
      <c r="G698" s="2"/>
    </row>
    <row r="699" spans="1:26" customHeight="1" ht="18" hidden="true" outlineLevel="3">
      <c r="A699" s="2" t="s">
        <v>1287</v>
      </c>
      <c r="B699" s="3" t="s">
        <v>1288</v>
      </c>
      <c r="C699" s="2"/>
      <c r="D699" s="2" t="s">
        <v>16</v>
      </c>
      <c r="E699" s="4">
        <f>81.23*(1-Z1%)</f>
        <v>81.23</v>
      </c>
      <c r="F699" s="2">
        <v>3</v>
      </c>
      <c r="G699" s="2"/>
    </row>
    <row r="700" spans="1:26" customHeight="1" ht="18" hidden="true" outlineLevel="3">
      <c r="A700" s="2" t="s">
        <v>1289</v>
      </c>
      <c r="B700" s="3" t="s">
        <v>1290</v>
      </c>
      <c r="C700" s="2"/>
      <c r="D700" s="2" t="s">
        <v>16</v>
      </c>
      <c r="E700" s="4">
        <f>88.70*(1-Z1%)</f>
        <v>88.7</v>
      </c>
      <c r="F700" s="2">
        <v>2</v>
      </c>
      <c r="G700" s="2"/>
    </row>
    <row r="701" spans="1:26" customHeight="1" ht="36" hidden="true" outlineLevel="3">
      <c r="A701" s="2" t="s">
        <v>1291</v>
      </c>
      <c r="B701" s="3" t="s">
        <v>1292</v>
      </c>
      <c r="C701" s="2"/>
      <c r="D701" s="2" t="s">
        <v>16</v>
      </c>
      <c r="E701" s="4">
        <f>101.53*(1-Z1%)</f>
        <v>101.53</v>
      </c>
      <c r="F701" s="2">
        <v>2</v>
      </c>
      <c r="G701" s="2"/>
    </row>
    <row r="702" spans="1:26" customHeight="1" ht="35">
      <c r="A702" s="1" t="s">
        <v>1293</v>
      </c>
      <c r="B702" s="1"/>
      <c r="C702" s="1"/>
      <c r="D702" s="1"/>
      <c r="E702" s="1"/>
      <c r="F702" s="1"/>
      <c r="G702" s="1"/>
    </row>
    <row r="703" spans="1:26" customHeight="1" ht="35" hidden="true" outlineLevel="2">
      <c r="A703" s="5" t="s">
        <v>1294</v>
      </c>
      <c r="B703" s="5"/>
      <c r="C703" s="5"/>
      <c r="D703" s="5"/>
      <c r="E703" s="5"/>
      <c r="F703" s="5"/>
      <c r="G703" s="5"/>
    </row>
    <row r="704" spans="1:26" customHeight="1" ht="35" hidden="true" outlineLevel="3">
      <c r="A704" s="5" t="s">
        <v>1295</v>
      </c>
      <c r="B704" s="5"/>
      <c r="C704" s="5"/>
      <c r="D704" s="5"/>
      <c r="E704" s="5"/>
      <c r="F704" s="5"/>
      <c r="G704" s="5"/>
    </row>
    <row r="705" spans="1:26" customHeight="1" ht="35" hidden="true" outlineLevel="4">
      <c r="A705" s="5" t="s">
        <v>1296</v>
      </c>
      <c r="B705" s="5"/>
      <c r="C705" s="5"/>
      <c r="D705" s="5"/>
      <c r="E705" s="5"/>
      <c r="F705" s="5"/>
      <c r="G705" s="5"/>
    </row>
    <row r="706" spans="1:26" customHeight="1" ht="36" hidden="true" outlineLevel="4">
      <c r="A706" s="2" t="s">
        <v>1297</v>
      </c>
      <c r="B706" s="3" t="s">
        <v>1298</v>
      </c>
      <c r="C706" s="2"/>
      <c r="D706" s="2" t="s">
        <v>16</v>
      </c>
      <c r="E706" s="4">
        <f>376.56*(1-Z1%)</f>
        <v>376.56</v>
      </c>
      <c r="F706" s="2">
        <v>4</v>
      </c>
      <c r="G706" s="2"/>
    </row>
    <row r="707" spans="1:26" customHeight="1" ht="36" hidden="true" outlineLevel="4">
      <c r="A707" s="2" t="s">
        <v>1299</v>
      </c>
      <c r="B707" s="3" t="s">
        <v>1300</v>
      </c>
      <c r="C707" s="2"/>
      <c r="D707" s="2" t="s">
        <v>16</v>
      </c>
      <c r="E707" s="4">
        <f>342.86*(1-Z1%)</f>
        <v>342.86</v>
      </c>
      <c r="F707" s="2">
        <v>8</v>
      </c>
      <c r="G707" s="2"/>
    </row>
    <row r="708" spans="1:26" customHeight="1" ht="18" hidden="true" outlineLevel="4">
      <c r="A708" s="2" t="s">
        <v>1301</v>
      </c>
      <c r="B708" s="3" t="s">
        <v>1302</v>
      </c>
      <c r="C708" s="2"/>
      <c r="D708" s="2" t="s">
        <v>16</v>
      </c>
      <c r="E708" s="4">
        <f>186.65*(1-Z1%)</f>
        <v>186.65</v>
      </c>
      <c r="F708" s="2">
        <v>5</v>
      </c>
      <c r="G708" s="2"/>
    </row>
    <row r="709" spans="1:26" customHeight="1" ht="18" hidden="true" outlineLevel="4">
      <c r="A709" s="2" t="s">
        <v>1303</v>
      </c>
      <c r="B709" s="3" t="s">
        <v>1304</v>
      </c>
      <c r="C709" s="2"/>
      <c r="D709" s="2" t="s">
        <v>16</v>
      </c>
      <c r="E709" s="4">
        <f>184.68*(1-Z1%)</f>
        <v>184.68</v>
      </c>
      <c r="F709" s="2">
        <v>2</v>
      </c>
      <c r="G709" s="2"/>
    </row>
    <row r="710" spans="1:26" customHeight="1" ht="18" hidden="true" outlineLevel="4">
      <c r="A710" s="2" t="s">
        <v>1305</v>
      </c>
      <c r="B710" s="3" t="s">
        <v>1306</v>
      </c>
      <c r="C710" s="2"/>
      <c r="D710" s="2" t="s">
        <v>16</v>
      </c>
      <c r="E710" s="4">
        <f>167.58*(1-Z1%)</f>
        <v>167.58</v>
      </c>
      <c r="F710" s="2">
        <v>7</v>
      </c>
      <c r="G710" s="2"/>
    </row>
    <row r="711" spans="1:26" customHeight="1" ht="18" hidden="true" outlineLevel="4">
      <c r="A711" s="2" t="s">
        <v>1307</v>
      </c>
      <c r="B711" s="3" t="s">
        <v>1308</v>
      </c>
      <c r="C711" s="2"/>
      <c r="D711" s="2" t="s">
        <v>16</v>
      </c>
      <c r="E711" s="4">
        <f>142.23*(1-Z1%)</f>
        <v>142.23</v>
      </c>
      <c r="F711" s="2">
        <v>4</v>
      </c>
      <c r="G711" s="2"/>
    </row>
    <row r="712" spans="1:26" customHeight="1" ht="18" hidden="true" outlineLevel="4">
      <c r="A712" s="2" t="s">
        <v>1309</v>
      </c>
      <c r="B712" s="3" t="s">
        <v>1310</v>
      </c>
      <c r="C712" s="2"/>
      <c r="D712" s="2" t="s">
        <v>16</v>
      </c>
      <c r="E712" s="4">
        <f>147.49*(1-Z1%)</f>
        <v>147.49</v>
      </c>
      <c r="F712" s="2">
        <v>6</v>
      </c>
      <c r="G712" s="2"/>
    </row>
    <row r="713" spans="1:26" customHeight="1" ht="18" hidden="true" outlineLevel="4">
      <c r="A713" s="2" t="s">
        <v>1311</v>
      </c>
      <c r="B713" s="3" t="s">
        <v>1312</v>
      </c>
      <c r="C713" s="2"/>
      <c r="D713" s="2" t="s">
        <v>16</v>
      </c>
      <c r="E713" s="4">
        <f>231.01*(1-Z1%)</f>
        <v>231.01</v>
      </c>
      <c r="F713" s="2">
        <v>3</v>
      </c>
      <c r="G713" s="2"/>
    </row>
    <row r="714" spans="1:26" customHeight="1" ht="18" hidden="true" outlineLevel="4">
      <c r="A714" s="2" t="s">
        <v>1313</v>
      </c>
      <c r="B714" s="3" t="s">
        <v>1314</v>
      </c>
      <c r="C714" s="2"/>
      <c r="D714" s="2" t="s">
        <v>16</v>
      </c>
      <c r="E714" s="4">
        <f>206.06*(1-Z1%)</f>
        <v>206.06</v>
      </c>
      <c r="F714" s="2">
        <v>7</v>
      </c>
      <c r="G714" s="2"/>
    </row>
    <row r="715" spans="1:26" customHeight="1" ht="35" hidden="true" outlineLevel="4">
      <c r="A715" s="5" t="s">
        <v>1315</v>
      </c>
      <c r="B715" s="5"/>
      <c r="C715" s="5"/>
      <c r="D715" s="5"/>
      <c r="E715" s="5"/>
      <c r="F715" s="5"/>
      <c r="G715" s="5"/>
    </row>
    <row r="716" spans="1:26" customHeight="1" ht="18" hidden="true" outlineLevel="4">
      <c r="A716" s="2" t="s">
        <v>1316</v>
      </c>
      <c r="B716" s="3" t="s">
        <v>1317</v>
      </c>
      <c r="C716" s="2"/>
      <c r="D716" s="2" t="s">
        <v>16</v>
      </c>
      <c r="E716" s="4">
        <f>214.61*(1-Z1%)</f>
        <v>214.61</v>
      </c>
      <c r="F716" s="2">
        <v>8</v>
      </c>
      <c r="G716" s="2"/>
    </row>
    <row r="717" spans="1:26" customHeight="1" ht="18" hidden="true" outlineLevel="4">
      <c r="A717" s="2" t="s">
        <v>1318</v>
      </c>
      <c r="B717" s="3" t="s">
        <v>1319</v>
      </c>
      <c r="C717" s="2"/>
      <c r="D717" s="2" t="s">
        <v>16</v>
      </c>
      <c r="E717" s="4">
        <f>249.15*(1-Z1%)</f>
        <v>249.15</v>
      </c>
      <c r="F717" s="2">
        <v>1</v>
      </c>
      <c r="G717" s="2"/>
    </row>
    <row r="718" spans="1:26" customHeight="1" ht="35" hidden="true" outlineLevel="3">
      <c r="A718" s="5" t="s">
        <v>1320</v>
      </c>
      <c r="B718" s="5"/>
      <c r="C718" s="5"/>
      <c r="D718" s="5"/>
      <c r="E718" s="5"/>
      <c r="F718" s="5"/>
      <c r="G718" s="5"/>
    </row>
    <row r="719" spans="1:26" customHeight="1" ht="36" hidden="true" outlineLevel="3">
      <c r="A719" s="2" t="s">
        <v>1321</v>
      </c>
      <c r="B719" s="3" t="s">
        <v>1322</v>
      </c>
      <c r="C719" s="2"/>
      <c r="D719" s="2" t="s">
        <v>16</v>
      </c>
      <c r="E719" s="4">
        <f>245.38*(1-Z1%)</f>
        <v>245.38</v>
      </c>
      <c r="F719" s="2">
        <v>5</v>
      </c>
      <c r="G719" s="2"/>
    </row>
    <row r="720" spans="1:26" customHeight="1" ht="36" hidden="true" outlineLevel="3">
      <c r="A720" s="2" t="s">
        <v>1323</v>
      </c>
      <c r="B720" s="3" t="s">
        <v>1324</v>
      </c>
      <c r="C720" s="2"/>
      <c r="D720" s="2" t="s">
        <v>16</v>
      </c>
      <c r="E720" s="4">
        <f>254.04*(1-Z1%)</f>
        <v>254.04</v>
      </c>
      <c r="F720" s="2">
        <v>3</v>
      </c>
      <c r="G720" s="2"/>
    </row>
    <row r="721" spans="1:26" customHeight="1" ht="36" hidden="true" outlineLevel="3">
      <c r="A721" s="2" t="s">
        <v>1325</v>
      </c>
      <c r="B721" s="3" t="s">
        <v>1326</v>
      </c>
      <c r="C721" s="2"/>
      <c r="D721" s="2" t="s">
        <v>16</v>
      </c>
      <c r="E721" s="4">
        <f>211.97*(1-Z1%)</f>
        <v>211.97</v>
      </c>
      <c r="F721" s="2">
        <v>7</v>
      </c>
      <c r="G721" s="2"/>
    </row>
    <row r="722" spans="1:26" customHeight="1" ht="35" hidden="true" outlineLevel="3">
      <c r="A722" s="5" t="s">
        <v>1327</v>
      </c>
      <c r="B722" s="5"/>
      <c r="C722" s="5"/>
      <c r="D722" s="5"/>
      <c r="E722" s="5"/>
      <c r="F722" s="5"/>
      <c r="G722" s="5"/>
    </row>
    <row r="723" spans="1:26" customHeight="1" ht="18" hidden="true" outlineLevel="3">
      <c r="A723" s="2" t="s">
        <v>1328</v>
      </c>
      <c r="B723" s="3" t="s">
        <v>1329</v>
      </c>
      <c r="C723" s="2"/>
      <c r="D723" s="2" t="s">
        <v>16</v>
      </c>
      <c r="E723" s="4">
        <f>220.48*(1-Z1%)</f>
        <v>220.48</v>
      </c>
      <c r="F723" s="2">
        <v>7</v>
      </c>
      <c r="G723" s="2"/>
    </row>
    <row r="724" spans="1:26" customHeight="1" ht="18" hidden="true" outlineLevel="3">
      <c r="A724" s="2" t="s">
        <v>1330</v>
      </c>
      <c r="B724" s="3" t="s">
        <v>1331</v>
      </c>
      <c r="C724" s="2"/>
      <c r="D724" s="2" t="s">
        <v>16</v>
      </c>
      <c r="E724" s="4">
        <f>217.66*(1-Z1%)</f>
        <v>217.66</v>
      </c>
      <c r="F724" s="2">
        <v>2</v>
      </c>
      <c r="G724" s="2"/>
    </row>
    <row r="725" spans="1:26" customHeight="1" ht="18" hidden="true" outlineLevel="3">
      <c r="A725" s="2" t="s">
        <v>1332</v>
      </c>
      <c r="B725" s="3" t="s">
        <v>1333</v>
      </c>
      <c r="C725" s="2"/>
      <c r="D725" s="2" t="s">
        <v>16</v>
      </c>
      <c r="E725" s="4">
        <f>38.77*(1-Z1%)</f>
        <v>38.77</v>
      </c>
      <c r="F725" s="2">
        <v>1</v>
      </c>
      <c r="G725" s="2"/>
    </row>
    <row r="726" spans="1:26" customHeight="1" ht="18" hidden="true" outlineLevel="3">
      <c r="A726" s="2" t="s">
        <v>1334</v>
      </c>
      <c r="B726" s="3" t="s">
        <v>1335</v>
      </c>
      <c r="C726" s="2"/>
      <c r="D726" s="2" t="s">
        <v>16</v>
      </c>
      <c r="E726" s="4">
        <f>197.89*(1-Z1%)</f>
        <v>197.89</v>
      </c>
      <c r="F726" s="2">
        <v>7</v>
      </c>
      <c r="G726" s="2"/>
    </row>
    <row r="727" spans="1:26" customHeight="1" ht="18" hidden="true" outlineLevel="3">
      <c r="A727" s="2" t="s">
        <v>1336</v>
      </c>
      <c r="B727" s="3" t="s">
        <v>1337</v>
      </c>
      <c r="C727" s="2"/>
      <c r="D727" s="2" t="s">
        <v>16</v>
      </c>
      <c r="E727" s="4">
        <f>285.99*(1-Z1%)</f>
        <v>285.99</v>
      </c>
      <c r="F727" s="2">
        <v>10</v>
      </c>
      <c r="G727" s="2"/>
    </row>
    <row r="728" spans="1:26" customHeight="1" ht="18" hidden="true" outlineLevel="3">
      <c r="A728" s="2" t="s">
        <v>1338</v>
      </c>
      <c r="B728" s="3" t="s">
        <v>1339</v>
      </c>
      <c r="C728" s="2"/>
      <c r="D728" s="2" t="s">
        <v>16</v>
      </c>
      <c r="E728" s="4">
        <f>280.22*(1-Z1%)</f>
        <v>280.22</v>
      </c>
      <c r="F728" s="2">
        <v>4</v>
      </c>
      <c r="G728" s="2"/>
    </row>
    <row r="729" spans="1:26" customHeight="1" ht="36" hidden="true" outlineLevel="3">
      <c r="A729" s="2" t="s">
        <v>1340</v>
      </c>
      <c r="B729" s="3" t="s">
        <v>1341</v>
      </c>
      <c r="C729" s="2"/>
      <c r="D729" s="2" t="s">
        <v>16</v>
      </c>
      <c r="E729" s="4">
        <f>133.88*(1-Z1%)</f>
        <v>133.88</v>
      </c>
      <c r="F729" s="2">
        <v>11</v>
      </c>
      <c r="G729" s="2"/>
    </row>
    <row r="730" spans="1:26" customHeight="1" ht="36" hidden="true" outlineLevel="3">
      <c r="A730" s="2" t="s">
        <v>1342</v>
      </c>
      <c r="B730" s="3" t="s">
        <v>1343</v>
      </c>
      <c r="C730" s="2"/>
      <c r="D730" s="2" t="s">
        <v>16</v>
      </c>
      <c r="E730" s="4">
        <f>43.44*(1-Z1%)</f>
        <v>43.44</v>
      </c>
      <c r="F730" s="2">
        <v>4</v>
      </c>
      <c r="G730" s="2"/>
    </row>
    <row r="731" spans="1:26" customHeight="1" ht="36" hidden="true" outlineLevel="3">
      <c r="A731" s="2" t="s">
        <v>1344</v>
      </c>
      <c r="B731" s="3" t="s">
        <v>1345</v>
      </c>
      <c r="C731" s="2"/>
      <c r="D731" s="2" t="s">
        <v>16</v>
      </c>
      <c r="E731" s="4">
        <f>43.44*(1-Z1%)</f>
        <v>43.44</v>
      </c>
      <c r="F731" s="2">
        <v>2</v>
      </c>
      <c r="G731" s="2"/>
    </row>
    <row r="732" spans="1:26" customHeight="1" ht="36" hidden="true" outlineLevel="3">
      <c r="A732" s="2" t="s">
        <v>1346</v>
      </c>
      <c r="B732" s="3" t="s">
        <v>1347</v>
      </c>
      <c r="C732" s="2"/>
      <c r="D732" s="2" t="s">
        <v>16</v>
      </c>
      <c r="E732" s="4">
        <f>45.42*(1-Z1%)</f>
        <v>45.42</v>
      </c>
      <c r="F732" s="2">
        <v>1</v>
      </c>
      <c r="G732" s="2"/>
    </row>
    <row r="733" spans="1:26" customHeight="1" ht="35" hidden="true" outlineLevel="2">
      <c r="A733" s="5" t="s">
        <v>1348</v>
      </c>
      <c r="B733" s="5"/>
      <c r="C733" s="5"/>
      <c r="D733" s="5"/>
      <c r="E733" s="5"/>
      <c r="F733" s="5"/>
      <c r="G733" s="5"/>
    </row>
    <row r="734" spans="1:26" customHeight="1" ht="35" hidden="true" outlineLevel="3">
      <c r="A734" s="5" t="s">
        <v>1349</v>
      </c>
      <c r="B734" s="5"/>
      <c r="C734" s="5"/>
      <c r="D734" s="5"/>
      <c r="E734" s="5"/>
      <c r="F734" s="5"/>
      <c r="G734" s="5"/>
    </row>
    <row r="735" spans="1:26" customHeight="1" ht="36" hidden="true" outlineLevel="3">
      <c r="A735" s="2" t="s">
        <v>1350</v>
      </c>
      <c r="B735" s="3" t="s">
        <v>1351</v>
      </c>
      <c r="C735" s="2"/>
      <c r="D735" s="2" t="s">
        <v>16</v>
      </c>
      <c r="E735" s="4">
        <f>376.82*(1-Z1%)</f>
        <v>376.82</v>
      </c>
      <c r="F735" s="2">
        <v>1</v>
      </c>
      <c r="G735" s="2"/>
    </row>
    <row r="736" spans="1:26" customHeight="1" ht="36" hidden="true" outlineLevel="3">
      <c r="A736" s="2" t="s">
        <v>1352</v>
      </c>
      <c r="B736" s="3" t="s">
        <v>1353</v>
      </c>
      <c r="C736" s="2"/>
      <c r="D736" s="2" t="s">
        <v>16</v>
      </c>
      <c r="E736" s="4">
        <f>457.88*(1-Z1%)</f>
        <v>457.88</v>
      </c>
      <c r="F736" s="2">
        <v>2</v>
      </c>
      <c r="G736" s="2"/>
    </row>
    <row r="737" spans="1:26" customHeight="1" ht="36" hidden="true" outlineLevel="3">
      <c r="A737" s="2" t="s">
        <v>1354</v>
      </c>
      <c r="B737" s="3" t="s">
        <v>1355</v>
      </c>
      <c r="C737" s="2"/>
      <c r="D737" s="2" t="s">
        <v>16</v>
      </c>
      <c r="E737" s="4">
        <f>449.63*(1-Z1%)</f>
        <v>449.63</v>
      </c>
      <c r="F737" s="2">
        <v>1</v>
      </c>
      <c r="G737" s="2"/>
    </row>
    <row r="738" spans="1:26" customHeight="1" ht="36" hidden="true" outlineLevel="3">
      <c r="A738" s="2" t="s">
        <v>1356</v>
      </c>
      <c r="B738" s="3" t="s">
        <v>1357</v>
      </c>
      <c r="C738" s="2"/>
      <c r="D738" s="2" t="s">
        <v>16</v>
      </c>
      <c r="E738" s="4">
        <f>549.22*(1-Z1%)</f>
        <v>549.22</v>
      </c>
      <c r="F738" s="2">
        <v>1</v>
      </c>
      <c r="G738" s="2"/>
    </row>
    <row r="739" spans="1:26" customHeight="1" ht="36" hidden="true" outlineLevel="3">
      <c r="A739" s="2" t="s">
        <v>1358</v>
      </c>
      <c r="B739" s="3" t="s">
        <v>1359</v>
      </c>
      <c r="C739" s="2"/>
      <c r="D739" s="2" t="s">
        <v>16</v>
      </c>
      <c r="E739" s="4">
        <f>1134.00*(1-Z1%)</f>
        <v>1134</v>
      </c>
      <c r="F739" s="2">
        <v>2</v>
      </c>
      <c r="G739" s="2"/>
    </row>
    <row r="740" spans="1:26" customHeight="1" ht="36" hidden="true" outlineLevel="3">
      <c r="A740" s="2" t="s">
        <v>1360</v>
      </c>
      <c r="B740" s="3" t="s">
        <v>1361</v>
      </c>
      <c r="C740" s="2"/>
      <c r="D740" s="2" t="s">
        <v>16</v>
      </c>
      <c r="E740" s="4">
        <f>459.11*(1-Z1%)</f>
        <v>459.11</v>
      </c>
      <c r="F740" s="2">
        <v>5</v>
      </c>
      <c r="G740" s="2"/>
    </row>
    <row r="741" spans="1:26" customHeight="1" ht="18" hidden="true" outlineLevel="3">
      <c r="A741" s="2" t="s">
        <v>1362</v>
      </c>
      <c r="B741" s="3" t="s">
        <v>1363</v>
      </c>
      <c r="C741" s="2"/>
      <c r="D741" s="2" t="s">
        <v>16</v>
      </c>
      <c r="E741" s="4">
        <f>439.47*(1-Z1%)</f>
        <v>439.47</v>
      </c>
      <c r="F741" s="2">
        <v>1</v>
      </c>
      <c r="G741" s="2"/>
    </row>
    <row r="742" spans="1:26" customHeight="1" ht="35" hidden="true" outlineLevel="3">
      <c r="A742" s="5" t="s">
        <v>1364</v>
      </c>
      <c r="B742" s="5"/>
      <c r="C742" s="5"/>
      <c r="D742" s="5"/>
      <c r="E742" s="5"/>
      <c r="F742" s="5"/>
      <c r="G742" s="5"/>
    </row>
    <row r="743" spans="1:26" customHeight="1" ht="18" hidden="true" outlineLevel="3">
      <c r="A743" s="2" t="s">
        <v>1365</v>
      </c>
      <c r="B743" s="3" t="s">
        <v>1366</v>
      </c>
      <c r="C743" s="2"/>
      <c r="D743" s="2" t="s">
        <v>16</v>
      </c>
      <c r="E743" s="4">
        <f>264.04*(1-Z1%)</f>
        <v>264.04</v>
      </c>
      <c r="F743" s="2">
        <v>1</v>
      </c>
      <c r="G743" s="2"/>
    </row>
    <row r="744" spans="1:26" customHeight="1" ht="35" hidden="true" outlineLevel="3">
      <c r="A744" s="5" t="s">
        <v>1367</v>
      </c>
      <c r="B744" s="5"/>
      <c r="C744" s="5"/>
      <c r="D744" s="5"/>
      <c r="E744" s="5"/>
      <c r="F744" s="5"/>
      <c r="G744" s="5"/>
    </row>
    <row r="745" spans="1:26" customHeight="1" ht="36" hidden="true" outlineLevel="3">
      <c r="A745" s="2" t="s">
        <v>1368</v>
      </c>
      <c r="B745" s="3" t="s">
        <v>1369</v>
      </c>
      <c r="C745" s="2"/>
      <c r="D745" s="2" t="s">
        <v>16</v>
      </c>
      <c r="E745" s="4">
        <f>122.85*(1-Z1%)</f>
        <v>122.85</v>
      </c>
      <c r="F745" s="2">
        <v>3</v>
      </c>
      <c r="G745" s="2"/>
    </row>
    <row r="746" spans="1:26" customHeight="1" ht="36" hidden="true" outlineLevel="3">
      <c r="A746" s="2" t="s">
        <v>1370</v>
      </c>
      <c r="B746" s="3" t="s">
        <v>1371</v>
      </c>
      <c r="C746" s="2"/>
      <c r="D746" s="2" t="s">
        <v>16</v>
      </c>
      <c r="E746" s="4">
        <f>122.85*(1-Z1%)</f>
        <v>122.85</v>
      </c>
      <c r="F746" s="2">
        <v>2</v>
      </c>
      <c r="G746" s="2"/>
    </row>
    <row r="747" spans="1:26" customHeight="1" ht="36" hidden="true" outlineLevel="3">
      <c r="A747" s="2" t="s">
        <v>1372</v>
      </c>
      <c r="B747" s="3" t="s">
        <v>1373</v>
      </c>
      <c r="C747" s="2"/>
      <c r="D747" s="2" t="s">
        <v>16</v>
      </c>
      <c r="E747" s="4">
        <f>122.85*(1-Z1%)</f>
        <v>122.85</v>
      </c>
      <c r="F747" s="2">
        <v>2</v>
      </c>
      <c r="G747" s="2"/>
    </row>
    <row r="748" spans="1:26" customHeight="1" ht="36" hidden="true" outlineLevel="3">
      <c r="A748" s="2" t="s">
        <v>1374</v>
      </c>
      <c r="B748" s="3" t="s">
        <v>1375</v>
      </c>
      <c r="C748" s="2"/>
      <c r="D748" s="2" t="s">
        <v>16</v>
      </c>
      <c r="E748" s="4">
        <f>122.85*(1-Z1%)</f>
        <v>122.85</v>
      </c>
      <c r="F748" s="2">
        <v>4</v>
      </c>
      <c r="G748" s="2"/>
    </row>
    <row r="749" spans="1:26" customHeight="1" ht="36" hidden="true" outlineLevel="3">
      <c r="A749" s="2" t="s">
        <v>1376</v>
      </c>
      <c r="B749" s="3" t="s">
        <v>1377</v>
      </c>
      <c r="C749" s="2"/>
      <c r="D749" s="2" t="s">
        <v>16</v>
      </c>
      <c r="E749" s="4">
        <f>842.18*(1-Z1%)</f>
        <v>842.18</v>
      </c>
      <c r="F749" s="2">
        <v>1</v>
      </c>
      <c r="G749" s="2"/>
    </row>
    <row r="750" spans="1:26" customHeight="1" ht="36" hidden="true" outlineLevel="3">
      <c r="A750" s="2" t="s">
        <v>1378</v>
      </c>
      <c r="B750" s="3" t="s">
        <v>1379</v>
      </c>
      <c r="C750" s="2"/>
      <c r="D750" s="2" t="s">
        <v>16</v>
      </c>
      <c r="E750" s="4">
        <f>122.85*(1-Z1%)</f>
        <v>122.85</v>
      </c>
      <c r="F750" s="2">
        <v>3</v>
      </c>
      <c r="G750" s="2"/>
    </row>
    <row r="751" spans="1:26" customHeight="1" ht="36" hidden="true" outlineLevel="3">
      <c r="A751" s="2" t="s">
        <v>1380</v>
      </c>
      <c r="B751" s="3" t="s">
        <v>1381</v>
      </c>
      <c r="C751" s="2"/>
      <c r="D751" s="2" t="s">
        <v>16</v>
      </c>
      <c r="E751" s="4">
        <f>122.85*(1-Z1%)</f>
        <v>122.85</v>
      </c>
      <c r="F751" s="2">
        <v>2</v>
      </c>
      <c r="G751" s="2"/>
    </row>
    <row r="752" spans="1:26" customHeight="1" ht="36" hidden="true" outlineLevel="3">
      <c r="A752" s="2" t="s">
        <v>1382</v>
      </c>
      <c r="B752" s="3" t="s">
        <v>1383</v>
      </c>
      <c r="C752" s="2"/>
      <c r="D752" s="2" t="s">
        <v>16</v>
      </c>
      <c r="E752" s="4">
        <f>122.85*(1-Z1%)</f>
        <v>122.85</v>
      </c>
      <c r="F752" s="2">
        <v>2</v>
      </c>
      <c r="G752" s="2"/>
    </row>
    <row r="753" spans="1:26" customHeight="1" ht="36" hidden="true" outlineLevel="3">
      <c r="A753" s="2" t="s">
        <v>1384</v>
      </c>
      <c r="B753" s="3" t="s">
        <v>1385</v>
      </c>
      <c r="C753" s="2"/>
      <c r="D753" s="2" t="s">
        <v>16</v>
      </c>
      <c r="E753" s="4">
        <f>122.85*(1-Z1%)</f>
        <v>122.85</v>
      </c>
      <c r="F753" s="2">
        <v>1</v>
      </c>
      <c r="G753" s="2"/>
    </row>
    <row r="754" spans="1:26" customHeight="1" ht="36" hidden="true" outlineLevel="3">
      <c r="A754" s="2" t="s">
        <v>1386</v>
      </c>
      <c r="B754" s="3" t="s">
        <v>1387</v>
      </c>
      <c r="C754" s="2"/>
      <c r="D754" s="2" t="s">
        <v>16</v>
      </c>
      <c r="E754" s="4">
        <f>122.85*(1-Z1%)</f>
        <v>122.85</v>
      </c>
      <c r="F754" s="2">
        <v>3</v>
      </c>
      <c r="G754" s="2"/>
    </row>
    <row r="755" spans="1:26" customHeight="1" ht="36" hidden="true" outlineLevel="3">
      <c r="A755" s="2" t="s">
        <v>1388</v>
      </c>
      <c r="B755" s="3" t="s">
        <v>1389</v>
      </c>
      <c r="C755" s="2"/>
      <c r="D755" s="2" t="s">
        <v>16</v>
      </c>
      <c r="E755" s="4">
        <f>122.85*(1-Z1%)</f>
        <v>122.85</v>
      </c>
      <c r="F755" s="2">
        <v>1</v>
      </c>
      <c r="G755" s="2"/>
    </row>
    <row r="756" spans="1:26" customHeight="1" ht="36" hidden="true" outlineLevel="3">
      <c r="A756" s="2" t="s">
        <v>1390</v>
      </c>
      <c r="B756" s="3" t="s">
        <v>1391</v>
      </c>
      <c r="C756" s="2"/>
      <c r="D756" s="2" t="s">
        <v>16</v>
      </c>
      <c r="E756" s="4">
        <f>122.85*(1-Z1%)</f>
        <v>122.85</v>
      </c>
      <c r="F756" s="2">
        <v>2</v>
      </c>
      <c r="G756" s="2"/>
    </row>
    <row r="757" spans="1:26" customHeight="1" ht="36" hidden="true" outlineLevel="3">
      <c r="A757" s="2" t="s">
        <v>1392</v>
      </c>
      <c r="B757" s="3" t="s">
        <v>1393</v>
      </c>
      <c r="C757" s="2"/>
      <c r="D757" s="2" t="s">
        <v>16</v>
      </c>
      <c r="E757" s="4">
        <f>122.85*(1-Z1%)</f>
        <v>122.85</v>
      </c>
      <c r="F757" s="2">
        <v>4</v>
      </c>
      <c r="G757" s="2"/>
    </row>
    <row r="758" spans="1:26" customHeight="1" ht="36" hidden="true" outlineLevel="3">
      <c r="A758" s="2" t="s">
        <v>1394</v>
      </c>
      <c r="B758" s="3" t="s">
        <v>1395</v>
      </c>
      <c r="C758" s="2"/>
      <c r="D758" s="2" t="s">
        <v>16</v>
      </c>
      <c r="E758" s="4">
        <f>122.85*(1-Z1%)</f>
        <v>122.85</v>
      </c>
      <c r="F758" s="2">
        <v>4</v>
      </c>
      <c r="G758" s="2"/>
    </row>
    <row r="759" spans="1:26" customHeight="1" ht="36" hidden="true" outlineLevel="3">
      <c r="A759" s="2" t="s">
        <v>1396</v>
      </c>
      <c r="B759" s="3" t="s">
        <v>1397</v>
      </c>
      <c r="C759" s="2"/>
      <c r="D759" s="2" t="s">
        <v>16</v>
      </c>
      <c r="E759" s="4">
        <f>122.85*(1-Z1%)</f>
        <v>122.85</v>
      </c>
      <c r="F759" s="2">
        <v>4</v>
      </c>
      <c r="G759" s="2"/>
    </row>
    <row r="760" spans="1:26" customHeight="1" ht="36" hidden="true" outlineLevel="3">
      <c r="A760" s="2" t="s">
        <v>1398</v>
      </c>
      <c r="B760" s="3" t="s">
        <v>1399</v>
      </c>
      <c r="C760" s="2"/>
      <c r="D760" s="2" t="s">
        <v>16</v>
      </c>
      <c r="E760" s="4">
        <f>122.85*(1-Z1%)</f>
        <v>122.85</v>
      </c>
      <c r="F760" s="2">
        <v>1</v>
      </c>
      <c r="G760" s="2"/>
    </row>
    <row r="761" spans="1:26" customHeight="1" ht="36" hidden="true" outlineLevel="3">
      <c r="A761" s="2" t="s">
        <v>1400</v>
      </c>
      <c r="B761" s="3" t="s">
        <v>1401</v>
      </c>
      <c r="C761" s="2"/>
      <c r="D761" s="2" t="s">
        <v>16</v>
      </c>
      <c r="E761" s="4">
        <f>122.85*(1-Z1%)</f>
        <v>122.85</v>
      </c>
      <c r="F761" s="2">
        <v>1</v>
      </c>
      <c r="G761" s="2"/>
    </row>
    <row r="762" spans="1:26" customHeight="1" ht="36" hidden="true" outlineLevel="3">
      <c r="A762" s="2" t="s">
        <v>1402</v>
      </c>
      <c r="B762" s="3" t="s">
        <v>1403</v>
      </c>
      <c r="C762" s="2"/>
      <c r="D762" s="2" t="s">
        <v>16</v>
      </c>
      <c r="E762" s="4">
        <f>122.85*(1-Z1%)</f>
        <v>122.85</v>
      </c>
      <c r="F762" s="2">
        <v>1</v>
      </c>
      <c r="G762" s="2"/>
    </row>
    <row r="763" spans="1:26" customHeight="1" ht="36" hidden="true" outlineLevel="3">
      <c r="A763" s="2" t="s">
        <v>1404</v>
      </c>
      <c r="B763" s="3" t="s">
        <v>1405</v>
      </c>
      <c r="C763" s="2"/>
      <c r="D763" s="2" t="s">
        <v>16</v>
      </c>
      <c r="E763" s="4">
        <f>122.85*(1-Z1%)</f>
        <v>122.85</v>
      </c>
      <c r="F763" s="2">
        <v>1</v>
      </c>
      <c r="G763" s="2"/>
    </row>
    <row r="764" spans="1:26" customHeight="1" ht="35" hidden="true" outlineLevel="2">
      <c r="A764" s="5" t="s">
        <v>1406</v>
      </c>
      <c r="B764" s="5"/>
      <c r="C764" s="5"/>
      <c r="D764" s="5"/>
      <c r="E764" s="5"/>
      <c r="F764" s="5"/>
      <c r="G764" s="5"/>
    </row>
    <row r="765" spans="1:26" customHeight="1" ht="35" hidden="true" outlineLevel="3">
      <c r="A765" s="5" t="s">
        <v>1407</v>
      </c>
      <c r="B765" s="5"/>
      <c r="C765" s="5"/>
      <c r="D765" s="5"/>
      <c r="E765" s="5"/>
      <c r="F765" s="5"/>
      <c r="G765" s="5"/>
    </row>
    <row r="766" spans="1:26" customHeight="1" ht="18" hidden="true" outlineLevel="3">
      <c r="A766" s="2" t="s">
        <v>1408</v>
      </c>
      <c r="B766" s="3" t="s">
        <v>1409</v>
      </c>
      <c r="C766" s="2"/>
      <c r="D766" s="2" t="s">
        <v>16</v>
      </c>
      <c r="E766" s="4">
        <f>318.01*(1-Z1%)</f>
        <v>318.01</v>
      </c>
      <c r="F766" s="2">
        <v>5</v>
      </c>
      <c r="G766" s="2"/>
    </row>
    <row r="767" spans="1:26" customHeight="1" ht="18" hidden="true" outlineLevel="3">
      <c r="A767" s="2" t="s">
        <v>1410</v>
      </c>
      <c r="B767" s="3" t="s">
        <v>1411</v>
      </c>
      <c r="C767" s="2"/>
      <c r="D767" s="2" t="s">
        <v>16</v>
      </c>
      <c r="E767" s="4">
        <f>317.11*(1-Z1%)</f>
        <v>317.11</v>
      </c>
      <c r="F767" s="2">
        <v>3</v>
      </c>
      <c r="G767" s="2"/>
    </row>
    <row r="768" spans="1:26" customHeight="1" ht="18" hidden="true" outlineLevel="3">
      <c r="A768" s="2" t="s">
        <v>1412</v>
      </c>
      <c r="B768" s="3" t="s">
        <v>1413</v>
      </c>
      <c r="C768" s="2"/>
      <c r="D768" s="2" t="s">
        <v>16</v>
      </c>
      <c r="E768" s="4">
        <f>754.61*(1-Z1%)</f>
        <v>754.61</v>
      </c>
      <c r="F768" s="2">
        <v>2</v>
      </c>
      <c r="G768" s="2"/>
    </row>
    <row r="769" spans="1:26" customHeight="1" ht="36" hidden="true" outlineLevel="3">
      <c r="A769" s="2" t="s">
        <v>1414</v>
      </c>
      <c r="B769" s="3" t="s">
        <v>1415</v>
      </c>
      <c r="C769" s="2"/>
      <c r="D769" s="2" t="s">
        <v>16</v>
      </c>
      <c r="E769" s="4">
        <f>564.30*(1-Z1%)</f>
        <v>564.3</v>
      </c>
      <c r="F769" s="2">
        <v>1</v>
      </c>
      <c r="G769" s="2"/>
    </row>
    <row r="770" spans="1:26" customHeight="1" ht="36" hidden="true" outlineLevel="3">
      <c r="A770" s="2" t="s">
        <v>1416</v>
      </c>
      <c r="B770" s="3" t="s">
        <v>1417</v>
      </c>
      <c r="C770" s="2"/>
      <c r="D770" s="2" t="s">
        <v>16</v>
      </c>
      <c r="E770" s="4">
        <f>584.24*(1-Z1%)</f>
        <v>584.24</v>
      </c>
      <c r="F770" s="2">
        <v>5</v>
      </c>
      <c r="G770" s="2"/>
    </row>
    <row r="771" spans="1:26" customHeight="1" ht="36" hidden="true" outlineLevel="3">
      <c r="A771" s="2" t="s">
        <v>1418</v>
      </c>
      <c r="B771" s="3" t="s">
        <v>1419</v>
      </c>
      <c r="C771" s="2"/>
      <c r="D771" s="2" t="s">
        <v>16</v>
      </c>
      <c r="E771" s="4">
        <f>560.84*(1-Z1%)</f>
        <v>560.84</v>
      </c>
      <c r="F771" s="2">
        <v>4</v>
      </c>
      <c r="G771" s="2"/>
    </row>
    <row r="772" spans="1:26" customHeight="1" ht="36" hidden="true" outlineLevel="3">
      <c r="A772" s="2" t="s">
        <v>1420</v>
      </c>
      <c r="B772" s="3" t="s">
        <v>1421</v>
      </c>
      <c r="C772" s="2"/>
      <c r="D772" s="2" t="s">
        <v>16</v>
      </c>
      <c r="E772" s="4">
        <f>560.84*(1-Z1%)</f>
        <v>560.84</v>
      </c>
      <c r="F772" s="2">
        <v>6</v>
      </c>
      <c r="G772" s="2"/>
    </row>
    <row r="773" spans="1:26" customHeight="1" ht="36" hidden="true" outlineLevel="3">
      <c r="A773" s="2" t="s">
        <v>1422</v>
      </c>
      <c r="B773" s="3" t="s">
        <v>1423</v>
      </c>
      <c r="C773" s="2"/>
      <c r="D773" s="2" t="s">
        <v>16</v>
      </c>
      <c r="E773" s="4">
        <f>560.84*(1-Z1%)</f>
        <v>560.84</v>
      </c>
      <c r="F773" s="2">
        <v>8</v>
      </c>
      <c r="G773" s="2"/>
    </row>
    <row r="774" spans="1:26" customHeight="1" ht="18" hidden="true" outlineLevel="3">
      <c r="A774" s="2" t="s">
        <v>1424</v>
      </c>
      <c r="B774" s="3" t="s">
        <v>1425</v>
      </c>
      <c r="C774" s="2"/>
      <c r="D774" s="2" t="s">
        <v>16</v>
      </c>
      <c r="E774" s="4">
        <f>561.47*(1-Z1%)</f>
        <v>561.47</v>
      </c>
      <c r="F774" s="2">
        <v>1</v>
      </c>
      <c r="G774" s="2"/>
    </row>
    <row r="775" spans="1:26" customHeight="1" ht="18" hidden="true" outlineLevel="3">
      <c r="A775" s="2" t="s">
        <v>1426</v>
      </c>
      <c r="B775" s="3" t="s">
        <v>1427</v>
      </c>
      <c r="C775" s="2"/>
      <c r="D775" s="2" t="s">
        <v>16</v>
      </c>
      <c r="E775" s="4">
        <f>568.02*(1-Z1%)</f>
        <v>568.02</v>
      </c>
      <c r="F775" s="2">
        <v>2</v>
      </c>
      <c r="G775" s="2"/>
    </row>
    <row r="776" spans="1:26" customHeight="1" ht="36" hidden="true" outlineLevel="3">
      <c r="A776" s="2" t="s">
        <v>1428</v>
      </c>
      <c r="B776" s="3" t="s">
        <v>1429</v>
      </c>
      <c r="C776" s="2"/>
      <c r="D776" s="2" t="s">
        <v>16</v>
      </c>
      <c r="E776" s="4">
        <f>452.03*(1-Z1%)</f>
        <v>452.03</v>
      </c>
      <c r="F776" s="2">
        <v>1</v>
      </c>
      <c r="G776" s="2"/>
    </row>
    <row r="777" spans="1:26" customHeight="1" ht="36" hidden="true" outlineLevel="3">
      <c r="A777" s="2" t="s">
        <v>1430</v>
      </c>
      <c r="B777" s="3" t="s">
        <v>1431</v>
      </c>
      <c r="C777" s="2"/>
      <c r="D777" s="2" t="s">
        <v>16</v>
      </c>
      <c r="E777" s="4">
        <f>430.08*(1-Z1%)</f>
        <v>430.08</v>
      </c>
      <c r="F777" s="2">
        <v>1</v>
      </c>
      <c r="G777" s="2"/>
    </row>
    <row r="778" spans="1:26" customHeight="1" ht="18" hidden="true" outlineLevel="3">
      <c r="A778" s="2" t="s">
        <v>1432</v>
      </c>
      <c r="B778" s="3" t="s">
        <v>1433</v>
      </c>
      <c r="C778" s="2"/>
      <c r="D778" s="2" t="s">
        <v>16</v>
      </c>
      <c r="E778" s="4">
        <f>424.17*(1-Z1%)</f>
        <v>424.17</v>
      </c>
      <c r="F778" s="2">
        <v>3</v>
      </c>
      <c r="G778" s="2"/>
    </row>
    <row r="779" spans="1:26" customHeight="1" ht="36" hidden="true" outlineLevel="3">
      <c r="A779" s="2" t="s">
        <v>1434</v>
      </c>
      <c r="B779" s="3" t="s">
        <v>1435</v>
      </c>
      <c r="C779" s="2"/>
      <c r="D779" s="2" t="s">
        <v>16</v>
      </c>
      <c r="E779" s="4">
        <f>622.11*(1-Z1%)</f>
        <v>622.11</v>
      </c>
      <c r="F779" s="2">
        <v>1</v>
      </c>
      <c r="G779" s="2"/>
    </row>
    <row r="780" spans="1:26" customHeight="1" ht="36" hidden="true" outlineLevel="3">
      <c r="A780" s="2" t="s">
        <v>1436</v>
      </c>
      <c r="B780" s="3" t="s">
        <v>1437</v>
      </c>
      <c r="C780" s="2"/>
      <c r="D780" s="2" t="s">
        <v>16</v>
      </c>
      <c r="E780" s="4">
        <f>603.86*(1-Z1%)</f>
        <v>603.86</v>
      </c>
      <c r="F780" s="2">
        <v>1</v>
      </c>
      <c r="G780" s="2"/>
    </row>
    <row r="781" spans="1:26" customHeight="1" ht="18" hidden="true" outlineLevel="3">
      <c r="A781" s="2" t="s">
        <v>1438</v>
      </c>
      <c r="B781" s="3" t="s">
        <v>1439</v>
      </c>
      <c r="C781" s="2"/>
      <c r="D781" s="2" t="s">
        <v>16</v>
      </c>
      <c r="E781" s="4">
        <f>606.31*(1-Z1%)</f>
        <v>606.31</v>
      </c>
      <c r="F781" s="2">
        <v>1</v>
      </c>
      <c r="G781" s="2"/>
    </row>
    <row r="782" spans="1:26" customHeight="1" ht="36" hidden="true" outlineLevel="3">
      <c r="A782" s="2" t="s">
        <v>1440</v>
      </c>
      <c r="B782" s="3" t="s">
        <v>1441</v>
      </c>
      <c r="C782" s="2"/>
      <c r="D782" s="2" t="s">
        <v>16</v>
      </c>
      <c r="E782" s="4">
        <f>411.47*(1-Z1%)</f>
        <v>411.47</v>
      </c>
      <c r="F782" s="2">
        <v>2</v>
      </c>
      <c r="G782" s="2"/>
    </row>
    <row r="783" spans="1:26" customHeight="1" ht="18" hidden="true" outlineLevel="3">
      <c r="A783" s="2" t="s">
        <v>1442</v>
      </c>
      <c r="B783" s="3" t="s">
        <v>1443</v>
      </c>
      <c r="C783" s="2"/>
      <c r="D783" s="2" t="s">
        <v>16</v>
      </c>
      <c r="E783" s="4">
        <f>244.60*(1-Z1%)</f>
        <v>244.6</v>
      </c>
      <c r="F783" s="2">
        <v>1</v>
      </c>
      <c r="G783" s="2"/>
    </row>
    <row r="784" spans="1:26" customHeight="1" ht="36" hidden="true" outlineLevel="3">
      <c r="A784" s="2" t="s">
        <v>1444</v>
      </c>
      <c r="B784" s="3" t="s">
        <v>1445</v>
      </c>
      <c r="C784" s="2"/>
      <c r="D784" s="2" t="s">
        <v>16</v>
      </c>
      <c r="E784" s="4">
        <f>397.24*(1-Z1%)</f>
        <v>397.24</v>
      </c>
      <c r="F784" s="2">
        <v>1</v>
      </c>
      <c r="G784" s="2"/>
    </row>
    <row r="785" spans="1:26" customHeight="1" ht="36" hidden="true" outlineLevel="3">
      <c r="A785" s="2" t="s">
        <v>1446</v>
      </c>
      <c r="B785" s="3" t="s">
        <v>1447</v>
      </c>
      <c r="C785" s="2"/>
      <c r="D785" s="2" t="s">
        <v>16</v>
      </c>
      <c r="E785" s="4">
        <f>397.24*(1-Z1%)</f>
        <v>397.24</v>
      </c>
      <c r="F785" s="2">
        <v>1</v>
      </c>
      <c r="G785" s="2"/>
    </row>
    <row r="786" spans="1:26" customHeight="1" ht="36" hidden="true" outlineLevel="3">
      <c r="A786" s="2" t="s">
        <v>1448</v>
      </c>
      <c r="B786" s="3" t="s">
        <v>1449</v>
      </c>
      <c r="C786" s="2"/>
      <c r="D786" s="2" t="s">
        <v>16</v>
      </c>
      <c r="E786" s="4">
        <f>397.24*(1-Z1%)</f>
        <v>397.24</v>
      </c>
      <c r="F786" s="2">
        <v>3</v>
      </c>
      <c r="G786" s="2"/>
    </row>
    <row r="787" spans="1:26" customHeight="1" ht="18" hidden="true" outlineLevel="3">
      <c r="A787" s="2" t="s">
        <v>1450</v>
      </c>
      <c r="B787" s="3" t="s">
        <v>1451</v>
      </c>
      <c r="C787" s="2"/>
      <c r="D787" s="2" t="s">
        <v>16</v>
      </c>
      <c r="E787" s="4">
        <f>379.18*(1-Z1%)</f>
        <v>379.18</v>
      </c>
      <c r="F787" s="2">
        <v>3</v>
      </c>
      <c r="G787" s="2"/>
    </row>
    <row r="788" spans="1:26" customHeight="1" ht="36" hidden="true" outlineLevel="3">
      <c r="A788" s="2" t="s">
        <v>1452</v>
      </c>
      <c r="B788" s="3" t="s">
        <v>1453</v>
      </c>
      <c r="C788" s="2"/>
      <c r="D788" s="2" t="s">
        <v>16</v>
      </c>
      <c r="E788" s="4">
        <f>264.83*(1-Z1%)</f>
        <v>264.83</v>
      </c>
      <c r="F788" s="2">
        <v>4</v>
      </c>
      <c r="G788" s="2"/>
    </row>
    <row r="789" spans="1:26" customHeight="1" ht="36" hidden="true" outlineLevel="3">
      <c r="A789" s="2" t="s">
        <v>1454</v>
      </c>
      <c r="B789" s="3" t="s">
        <v>1455</v>
      </c>
      <c r="C789" s="2"/>
      <c r="D789" s="2" t="s">
        <v>16</v>
      </c>
      <c r="E789" s="4">
        <f>589.84*(1-Z1%)</f>
        <v>589.84</v>
      </c>
      <c r="F789" s="2">
        <v>6</v>
      </c>
      <c r="G789" s="2"/>
    </row>
    <row r="790" spans="1:26" customHeight="1" ht="36" hidden="true" outlineLevel="3">
      <c r="A790" s="2" t="s">
        <v>1456</v>
      </c>
      <c r="B790" s="3" t="s">
        <v>1457</v>
      </c>
      <c r="C790" s="2"/>
      <c r="D790" s="2" t="s">
        <v>16</v>
      </c>
      <c r="E790" s="4">
        <f>589.84*(1-Z1%)</f>
        <v>589.84</v>
      </c>
      <c r="F790" s="2">
        <v>1</v>
      </c>
      <c r="G790" s="2"/>
    </row>
    <row r="791" spans="1:26" customHeight="1" ht="36" hidden="true" outlineLevel="3">
      <c r="A791" s="2" t="s">
        <v>1458</v>
      </c>
      <c r="B791" s="3" t="s">
        <v>1459</v>
      </c>
      <c r="C791" s="2"/>
      <c r="D791" s="2" t="s">
        <v>16</v>
      </c>
      <c r="E791" s="4">
        <f>312.98*(1-Z1%)</f>
        <v>312.98</v>
      </c>
      <c r="F791" s="2">
        <v>2</v>
      </c>
      <c r="G791" s="2"/>
    </row>
    <row r="792" spans="1:26" customHeight="1" ht="18" hidden="true" outlineLevel="3">
      <c r="A792" s="2" t="s">
        <v>1460</v>
      </c>
      <c r="B792" s="3" t="s">
        <v>1461</v>
      </c>
      <c r="C792" s="2"/>
      <c r="D792" s="2" t="s">
        <v>16</v>
      </c>
      <c r="E792" s="4">
        <f>505.58*(1-Z1%)</f>
        <v>505.58</v>
      </c>
      <c r="F792" s="2">
        <v>2</v>
      </c>
      <c r="G792" s="2"/>
    </row>
    <row r="793" spans="1:26" customHeight="1" ht="36" hidden="true" outlineLevel="3">
      <c r="A793" s="2" t="s">
        <v>1462</v>
      </c>
      <c r="B793" s="3" t="s">
        <v>1463</v>
      </c>
      <c r="C793" s="2"/>
      <c r="D793" s="2" t="s">
        <v>16</v>
      </c>
      <c r="E793" s="4">
        <f>830.59*(1-Z1%)</f>
        <v>830.59</v>
      </c>
      <c r="F793" s="2">
        <v>1</v>
      </c>
      <c r="G793" s="2"/>
    </row>
    <row r="794" spans="1:26" customHeight="1" ht="18" hidden="true" outlineLevel="3">
      <c r="A794" s="2" t="s">
        <v>1464</v>
      </c>
      <c r="B794" s="3" t="s">
        <v>1465</v>
      </c>
      <c r="C794" s="2"/>
      <c r="D794" s="2" t="s">
        <v>16</v>
      </c>
      <c r="E794" s="4">
        <f>541.69*(1-Z1%)</f>
        <v>541.69</v>
      </c>
      <c r="F794" s="2">
        <v>2</v>
      </c>
      <c r="G794" s="2"/>
    </row>
    <row r="795" spans="1:26" customHeight="1" ht="18" hidden="true" outlineLevel="3">
      <c r="A795" s="2" t="s">
        <v>1466</v>
      </c>
      <c r="B795" s="3" t="s">
        <v>1467</v>
      </c>
      <c r="C795" s="2"/>
      <c r="D795" s="2" t="s">
        <v>16</v>
      </c>
      <c r="E795" s="4">
        <f>866.70*(1-Z1%)</f>
        <v>866.7</v>
      </c>
      <c r="F795" s="2">
        <v>2</v>
      </c>
      <c r="G795" s="2"/>
    </row>
    <row r="796" spans="1:26" customHeight="1" ht="35" hidden="true" outlineLevel="3">
      <c r="A796" s="5" t="s">
        <v>1468</v>
      </c>
      <c r="B796" s="5"/>
      <c r="C796" s="5"/>
      <c r="D796" s="5"/>
      <c r="E796" s="5"/>
      <c r="F796" s="5"/>
      <c r="G796" s="5"/>
    </row>
    <row r="797" spans="1:26" customHeight="1" ht="18" hidden="true" outlineLevel="3">
      <c r="A797" s="2" t="s">
        <v>1469</v>
      </c>
      <c r="B797" s="3" t="s">
        <v>1470</v>
      </c>
      <c r="C797" s="2"/>
      <c r="D797" s="2" t="s">
        <v>16</v>
      </c>
      <c r="E797" s="4">
        <f>170.42*(1-Z1%)</f>
        <v>170.42</v>
      </c>
      <c r="F797" s="2">
        <v>18</v>
      </c>
      <c r="G797" s="2"/>
    </row>
    <row r="798" spans="1:26" customHeight="1" ht="18" hidden="true" outlineLevel="3">
      <c r="A798" s="2" t="s">
        <v>1471</v>
      </c>
      <c r="B798" s="3" t="s">
        <v>1470</v>
      </c>
      <c r="C798" s="2"/>
      <c r="D798" s="2" t="s">
        <v>16</v>
      </c>
      <c r="E798" s="4">
        <f>240.73*(1-Z1%)</f>
        <v>240.73</v>
      </c>
      <c r="F798" s="2">
        <v>10</v>
      </c>
      <c r="G798" s="2"/>
    </row>
    <row r="799" spans="1:26" customHeight="1" ht="18" hidden="true" outlineLevel="3">
      <c r="A799" s="2" t="s">
        <v>1472</v>
      </c>
      <c r="B799" s="3" t="s">
        <v>1470</v>
      </c>
      <c r="C799" s="2"/>
      <c r="D799" s="2" t="s">
        <v>16</v>
      </c>
      <c r="E799" s="4">
        <f>83.54*(1-Z1%)</f>
        <v>83.54</v>
      </c>
      <c r="F799" s="2">
        <v>5</v>
      </c>
      <c r="G799" s="2"/>
    </row>
    <row r="800" spans="1:26" customHeight="1" ht="18" hidden="true" outlineLevel="3">
      <c r="A800" s="2" t="s">
        <v>1473</v>
      </c>
      <c r="B800" s="3" t="s">
        <v>1470</v>
      </c>
      <c r="C800" s="2"/>
      <c r="D800" s="2" t="s">
        <v>16</v>
      </c>
      <c r="E800" s="4">
        <f>63.49*(1-Z1%)</f>
        <v>63.49</v>
      </c>
      <c r="F800" s="2">
        <v>10</v>
      </c>
      <c r="G800" s="2"/>
    </row>
    <row r="801" spans="1:26" customHeight="1" ht="18" hidden="true" outlineLevel="3">
      <c r="A801" s="2" t="s">
        <v>1474</v>
      </c>
      <c r="B801" s="3" t="s">
        <v>1475</v>
      </c>
      <c r="C801" s="2"/>
      <c r="D801" s="2" t="s">
        <v>16</v>
      </c>
      <c r="E801" s="4">
        <f>247.89*(1-Z1%)</f>
        <v>247.89</v>
      </c>
      <c r="F801" s="2">
        <v>6</v>
      </c>
      <c r="G801" s="2"/>
    </row>
    <row r="802" spans="1:26" customHeight="1" ht="35" hidden="true" outlineLevel="2">
      <c r="A802" s="5" t="s">
        <v>1476</v>
      </c>
      <c r="B802" s="5"/>
      <c r="C802" s="5"/>
      <c r="D802" s="5"/>
      <c r="E802" s="5"/>
      <c r="F802" s="5"/>
      <c r="G802" s="5"/>
    </row>
    <row r="803" spans="1:26" customHeight="1" ht="35" hidden="true" outlineLevel="3">
      <c r="A803" s="5" t="s">
        <v>1477</v>
      </c>
      <c r="B803" s="5"/>
      <c r="C803" s="5"/>
      <c r="D803" s="5"/>
      <c r="E803" s="5"/>
      <c r="F803" s="5"/>
      <c r="G803" s="5"/>
    </row>
    <row r="804" spans="1:26" customHeight="1" ht="18" hidden="true" outlineLevel="3">
      <c r="A804" s="2" t="s">
        <v>1478</v>
      </c>
      <c r="B804" s="3" t="s">
        <v>1479</v>
      </c>
      <c r="C804" s="2"/>
      <c r="D804" s="2" t="s">
        <v>16</v>
      </c>
      <c r="E804" s="4">
        <f>314.18*(1-Z1%)</f>
        <v>314.18</v>
      </c>
      <c r="F804" s="2">
        <v>3</v>
      </c>
      <c r="G804" s="2"/>
    </row>
    <row r="805" spans="1:26" customHeight="1" ht="18" hidden="true" outlineLevel="3">
      <c r="A805" s="2" t="s">
        <v>1480</v>
      </c>
      <c r="B805" s="3" t="s">
        <v>1481</v>
      </c>
      <c r="C805" s="2"/>
      <c r="D805" s="2" t="s">
        <v>16</v>
      </c>
      <c r="E805" s="4">
        <f>253.99*(1-Z1%)</f>
        <v>253.99</v>
      </c>
      <c r="F805" s="2">
        <v>2</v>
      </c>
      <c r="G805" s="2"/>
    </row>
    <row r="806" spans="1:26" customHeight="1" ht="18" hidden="true" outlineLevel="3">
      <c r="A806" s="2" t="s">
        <v>1482</v>
      </c>
      <c r="B806" s="3" t="s">
        <v>1483</v>
      </c>
      <c r="C806" s="2"/>
      <c r="D806" s="2" t="s">
        <v>16</v>
      </c>
      <c r="E806" s="4">
        <f>253.99*(1-Z1%)</f>
        <v>253.99</v>
      </c>
      <c r="F806" s="2">
        <v>3</v>
      </c>
      <c r="G806" s="2"/>
    </row>
    <row r="807" spans="1:26" customHeight="1" ht="18" hidden="true" outlineLevel="3">
      <c r="A807" s="2" t="s">
        <v>1484</v>
      </c>
      <c r="B807" s="3" t="s">
        <v>1485</v>
      </c>
      <c r="C807" s="2"/>
      <c r="D807" s="2" t="s">
        <v>16</v>
      </c>
      <c r="E807" s="4">
        <f>310.57*(1-Z1%)</f>
        <v>310.57</v>
      </c>
      <c r="F807" s="2">
        <v>2</v>
      </c>
      <c r="G807" s="2"/>
    </row>
    <row r="808" spans="1:26" customHeight="1" ht="18" hidden="true" outlineLevel="3">
      <c r="A808" s="2" t="s">
        <v>1486</v>
      </c>
      <c r="B808" s="3" t="s">
        <v>1487</v>
      </c>
      <c r="C808" s="2"/>
      <c r="D808" s="2" t="s">
        <v>16</v>
      </c>
      <c r="E808" s="4">
        <f>145.66*(1-Z1%)</f>
        <v>145.66</v>
      </c>
      <c r="F808" s="2">
        <v>2</v>
      </c>
      <c r="G808" s="2"/>
    </row>
    <row r="809" spans="1:26" customHeight="1" ht="18" hidden="true" outlineLevel="3">
      <c r="A809" s="2" t="s">
        <v>1488</v>
      </c>
      <c r="B809" s="3" t="s">
        <v>1489</v>
      </c>
      <c r="C809" s="2"/>
      <c r="D809" s="2" t="s">
        <v>16</v>
      </c>
      <c r="E809" s="4">
        <f>168.53*(1-Z1%)</f>
        <v>168.53</v>
      </c>
      <c r="F809" s="2">
        <v>5</v>
      </c>
      <c r="G809" s="2"/>
    </row>
    <row r="810" spans="1:26" customHeight="1" ht="18" hidden="true" outlineLevel="3">
      <c r="A810" s="2" t="s">
        <v>1490</v>
      </c>
      <c r="B810" s="3" t="s">
        <v>1491</v>
      </c>
      <c r="C810" s="2"/>
      <c r="D810" s="2" t="s">
        <v>16</v>
      </c>
      <c r="E810" s="4">
        <f>126.40*(1-Z1%)</f>
        <v>126.4</v>
      </c>
      <c r="F810" s="2">
        <v>1</v>
      </c>
      <c r="G810" s="2"/>
    </row>
    <row r="811" spans="1:26" customHeight="1" ht="36" hidden="true" outlineLevel="3">
      <c r="A811" s="2" t="s">
        <v>1492</v>
      </c>
      <c r="B811" s="3" t="s">
        <v>1493</v>
      </c>
      <c r="C811" s="2"/>
      <c r="D811" s="2" t="s">
        <v>16</v>
      </c>
      <c r="E811" s="4">
        <f>323.81*(1-Z1%)</f>
        <v>323.81</v>
      </c>
      <c r="F811" s="2">
        <v>3</v>
      </c>
      <c r="G811" s="2"/>
    </row>
    <row r="812" spans="1:26" customHeight="1" ht="36" hidden="true" outlineLevel="3">
      <c r="A812" s="2" t="s">
        <v>1494</v>
      </c>
      <c r="B812" s="3" t="s">
        <v>1495</v>
      </c>
      <c r="C812" s="2"/>
      <c r="D812" s="2" t="s">
        <v>16</v>
      </c>
      <c r="E812" s="4">
        <f>323.81*(1-Z1%)</f>
        <v>323.81</v>
      </c>
      <c r="F812" s="2">
        <v>2</v>
      </c>
      <c r="G812" s="2"/>
    </row>
    <row r="813" spans="1:26" customHeight="1" ht="35" hidden="true" outlineLevel="3">
      <c r="A813" s="5" t="s">
        <v>1496</v>
      </c>
      <c r="B813" s="5"/>
      <c r="C813" s="5"/>
      <c r="D813" s="5"/>
      <c r="E813" s="5"/>
      <c r="F813" s="5"/>
      <c r="G813" s="5"/>
    </row>
    <row r="814" spans="1:26" customHeight="1" ht="18" hidden="true" outlineLevel="3">
      <c r="A814" s="2" t="s">
        <v>1497</v>
      </c>
      <c r="B814" s="3" t="s">
        <v>1498</v>
      </c>
      <c r="C814" s="2"/>
      <c r="D814" s="2" t="s">
        <v>16</v>
      </c>
      <c r="E814" s="4">
        <f>177.84*(1-Z1%)</f>
        <v>177.84</v>
      </c>
      <c r="F814" s="2">
        <v>12</v>
      </c>
      <c r="G814" s="2"/>
    </row>
    <row r="815" spans="1:26" customHeight="1" ht="18" hidden="true" outlineLevel="3">
      <c r="A815" s="2" t="s">
        <v>1499</v>
      </c>
      <c r="B815" s="3" t="s">
        <v>1500</v>
      </c>
      <c r="C815" s="2"/>
      <c r="D815" s="2" t="s">
        <v>16</v>
      </c>
      <c r="E815" s="4">
        <f>86.36*(1-Z1%)</f>
        <v>86.36</v>
      </c>
      <c r="F815" s="2">
        <v>1</v>
      </c>
      <c r="G815" s="2"/>
    </row>
    <row r="816" spans="1:26" customHeight="1" ht="18" hidden="true" outlineLevel="3">
      <c r="A816" s="2" t="s">
        <v>1501</v>
      </c>
      <c r="B816" s="3" t="s">
        <v>1502</v>
      </c>
      <c r="C816" s="2"/>
      <c r="D816" s="2" t="s">
        <v>16</v>
      </c>
      <c r="E816" s="4">
        <f>241.11*(1-Z1%)</f>
        <v>241.11</v>
      </c>
      <c r="F816" s="2">
        <v>3</v>
      </c>
      <c r="G816" s="2"/>
    </row>
    <row r="817" spans="1:26" customHeight="1" ht="18" hidden="true" outlineLevel="3">
      <c r="A817" s="2" t="s">
        <v>1503</v>
      </c>
      <c r="B817" s="3" t="s">
        <v>1504</v>
      </c>
      <c r="C817" s="2"/>
      <c r="D817" s="2" t="s">
        <v>16</v>
      </c>
      <c r="E817" s="4">
        <f>209.48*(1-Z1%)</f>
        <v>209.48</v>
      </c>
      <c r="F817" s="2">
        <v>3</v>
      </c>
      <c r="G817" s="2"/>
    </row>
    <row r="818" spans="1:26" customHeight="1" ht="18" hidden="true" outlineLevel="3">
      <c r="A818" s="2" t="s">
        <v>1505</v>
      </c>
      <c r="B818" s="3" t="s">
        <v>1506</v>
      </c>
      <c r="C818" s="2"/>
      <c r="D818" s="2" t="s">
        <v>16</v>
      </c>
      <c r="E818" s="4">
        <f>105.17*(1-Z1%)</f>
        <v>105.17</v>
      </c>
      <c r="F818" s="2">
        <v>11</v>
      </c>
      <c r="G818" s="2"/>
    </row>
    <row r="819" spans="1:26" customHeight="1" ht="18" hidden="true" outlineLevel="3">
      <c r="A819" s="2" t="s">
        <v>1507</v>
      </c>
      <c r="B819" s="3" t="s">
        <v>1508</v>
      </c>
      <c r="C819" s="2"/>
      <c r="D819" s="2" t="s">
        <v>16</v>
      </c>
      <c r="E819" s="4">
        <f>271.04*(1-Z1%)</f>
        <v>271.04</v>
      </c>
      <c r="F819" s="2">
        <v>5</v>
      </c>
      <c r="G819" s="2"/>
    </row>
    <row r="820" spans="1:26" customHeight="1" ht="18" hidden="true" outlineLevel="3">
      <c r="A820" s="2" t="s">
        <v>1509</v>
      </c>
      <c r="B820" s="3" t="s">
        <v>1510</v>
      </c>
      <c r="C820" s="2"/>
      <c r="D820" s="2" t="s">
        <v>16</v>
      </c>
      <c r="E820" s="4">
        <f>218.03*(1-Z1%)</f>
        <v>218.03</v>
      </c>
      <c r="F820" s="2">
        <v>3</v>
      </c>
      <c r="G820" s="2"/>
    </row>
    <row r="821" spans="1:26" customHeight="1" ht="18" hidden="true" outlineLevel="3">
      <c r="A821" s="2" t="s">
        <v>1511</v>
      </c>
      <c r="B821" s="3" t="s">
        <v>1512</v>
      </c>
      <c r="C821" s="2"/>
      <c r="D821" s="2" t="s">
        <v>16</v>
      </c>
      <c r="E821" s="4">
        <f>176.99*(1-Z1%)</f>
        <v>176.99</v>
      </c>
      <c r="F821" s="2">
        <v>63</v>
      </c>
      <c r="G821" s="2"/>
    </row>
    <row r="822" spans="1:26" customHeight="1" ht="18" hidden="true" outlineLevel="3">
      <c r="A822" s="2" t="s">
        <v>1513</v>
      </c>
      <c r="B822" s="3" t="s">
        <v>1514</v>
      </c>
      <c r="C822" s="2"/>
      <c r="D822" s="2" t="s">
        <v>16</v>
      </c>
      <c r="E822" s="4">
        <f>187.21*(1-Z1%)</f>
        <v>187.21</v>
      </c>
      <c r="F822" s="2">
        <v>1</v>
      </c>
      <c r="G822" s="2"/>
    </row>
    <row r="823" spans="1:26" customHeight="1" ht="18" hidden="true" outlineLevel="3">
      <c r="A823" s="2" t="s">
        <v>1515</v>
      </c>
      <c r="B823" s="3" t="s">
        <v>1516</v>
      </c>
      <c r="C823" s="2"/>
      <c r="D823" s="2" t="s">
        <v>16</v>
      </c>
      <c r="E823" s="4">
        <f>285.59*(1-Z1%)</f>
        <v>285.59</v>
      </c>
      <c r="F823" s="2">
        <v>4</v>
      </c>
      <c r="G823" s="2"/>
    </row>
    <row r="824" spans="1:26" customHeight="1" ht="18" hidden="true" outlineLevel="3">
      <c r="A824" s="2" t="s">
        <v>1517</v>
      </c>
      <c r="B824" s="3" t="s">
        <v>1518</v>
      </c>
      <c r="C824" s="2"/>
      <c r="D824" s="2" t="s">
        <v>16</v>
      </c>
      <c r="E824" s="4">
        <f>285.59*(1-Z1%)</f>
        <v>285.59</v>
      </c>
      <c r="F824" s="2">
        <v>4</v>
      </c>
      <c r="G824" s="2"/>
    </row>
    <row r="825" spans="1:26" customHeight="1" ht="18" hidden="true" outlineLevel="3">
      <c r="A825" s="2" t="s">
        <v>1519</v>
      </c>
      <c r="B825" s="3" t="s">
        <v>1520</v>
      </c>
      <c r="C825" s="2"/>
      <c r="D825" s="2" t="s">
        <v>16</v>
      </c>
      <c r="E825" s="4">
        <f>226.31*(1-Z1%)</f>
        <v>226.31</v>
      </c>
      <c r="F825" s="2">
        <v>2</v>
      </c>
      <c r="G825" s="2"/>
    </row>
    <row r="826" spans="1:26" customHeight="1" ht="18" hidden="true" outlineLevel="3">
      <c r="A826" s="2" t="s">
        <v>1521</v>
      </c>
      <c r="B826" s="3" t="s">
        <v>1522</v>
      </c>
      <c r="C826" s="2"/>
      <c r="D826" s="2" t="s">
        <v>16</v>
      </c>
      <c r="E826" s="4">
        <f>226.31*(1-Z1%)</f>
        <v>226.31</v>
      </c>
      <c r="F826" s="2">
        <v>1</v>
      </c>
      <c r="G826" s="2"/>
    </row>
    <row r="827" spans="1:26" customHeight="1" ht="18" hidden="true" outlineLevel="3">
      <c r="A827" s="2" t="s">
        <v>1523</v>
      </c>
      <c r="B827" s="3" t="s">
        <v>1524</v>
      </c>
      <c r="C827" s="2"/>
      <c r="D827" s="2" t="s">
        <v>16</v>
      </c>
      <c r="E827" s="4">
        <f>226.31*(1-Z1%)</f>
        <v>226.31</v>
      </c>
      <c r="F827" s="2">
        <v>3</v>
      </c>
      <c r="G827" s="2"/>
    </row>
    <row r="828" spans="1:26" customHeight="1" ht="18" hidden="true" outlineLevel="3">
      <c r="A828" s="2" t="s">
        <v>1525</v>
      </c>
      <c r="B828" s="3" t="s">
        <v>1526</v>
      </c>
      <c r="C828" s="2"/>
      <c r="D828" s="2" t="s">
        <v>16</v>
      </c>
      <c r="E828" s="4">
        <f>222.03*(1-Z1%)</f>
        <v>222.03</v>
      </c>
      <c r="F828" s="2">
        <v>1</v>
      </c>
      <c r="G828" s="2"/>
    </row>
    <row r="829" spans="1:26" customHeight="1" ht="18" hidden="true" outlineLevel="3">
      <c r="A829" s="2" t="s">
        <v>1527</v>
      </c>
      <c r="B829" s="3" t="s">
        <v>1528</v>
      </c>
      <c r="C829" s="2"/>
      <c r="D829" s="2" t="s">
        <v>16</v>
      </c>
      <c r="E829" s="4">
        <f>222.03*(1-Z1%)</f>
        <v>222.03</v>
      </c>
      <c r="F829" s="2">
        <v>2</v>
      </c>
      <c r="G829" s="2"/>
    </row>
    <row r="830" spans="1:26" customHeight="1" ht="36" hidden="true" outlineLevel="3">
      <c r="A830" s="2" t="s">
        <v>1529</v>
      </c>
      <c r="B830" s="3" t="s">
        <v>1530</v>
      </c>
      <c r="C830" s="2"/>
      <c r="D830" s="2" t="s">
        <v>16</v>
      </c>
      <c r="E830" s="4">
        <f>391.22*(1-Z1%)</f>
        <v>391.22</v>
      </c>
      <c r="F830" s="2">
        <v>2</v>
      </c>
      <c r="G830" s="2"/>
    </row>
    <row r="831" spans="1:26" customHeight="1" ht="36" hidden="true" outlineLevel="3">
      <c r="A831" s="2" t="s">
        <v>1531</v>
      </c>
      <c r="B831" s="3" t="s">
        <v>1532</v>
      </c>
      <c r="C831" s="2"/>
      <c r="D831" s="2" t="s">
        <v>16</v>
      </c>
      <c r="E831" s="4">
        <f>391.22*(1-Z1%)</f>
        <v>391.22</v>
      </c>
      <c r="F831" s="2">
        <v>2</v>
      </c>
      <c r="G831" s="2"/>
    </row>
    <row r="832" spans="1:26" customHeight="1" ht="36" hidden="true" outlineLevel="3">
      <c r="A832" s="2" t="s">
        <v>1533</v>
      </c>
      <c r="B832" s="3" t="s">
        <v>1534</v>
      </c>
      <c r="C832" s="2"/>
      <c r="D832" s="2" t="s">
        <v>16</v>
      </c>
      <c r="E832" s="4">
        <f>498.36*(1-Z1%)</f>
        <v>498.36</v>
      </c>
      <c r="F832" s="2">
        <v>3</v>
      </c>
      <c r="G832" s="2"/>
    </row>
    <row r="833" spans="1:26" customHeight="1" ht="36" hidden="true" outlineLevel="3">
      <c r="A833" s="2" t="s">
        <v>1535</v>
      </c>
      <c r="B833" s="3" t="s">
        <v>1536</v>
      </c>
      <c r="C833" s="2"/>
      <c r="D833" s="2" t="s">
        <v>16</v>
      </c>
      <c r="E833" s="4">
        <f>498.36*(1-Z1%)</f>
        <v>498.36</v>
      </c>
      <c r="F833" s="2">
        <v>3</v>
      </c>
      <c r="G833" s="2"/>
    </row>
    <row r="834" spans="1:26" customHeight="1" ht="36" hidden="true" outlineLevel="3">
      <c r="A834" s="2" t="s">
        <v>1537</v>
      </c>
      <c r="B834" s="3" t="s">
        <v>1538</v>
      </c>
      <c r="C834" s="2"/>
      <c r="D834" s="2" t="s">
        <v>16</v>
      </c>
      <c r="E834" s="4">
        <f>685.66*(1-Z1%)</f>
        <v>685.66</v>
      </c>
      <c r="F834" s="2">
        <v>1</v>
      </c>
      <c r="G834" s="2"/>
    </row>
    <row r="835" spans="1:26" customHeight="1" ht="36" hidden="true" outlineLevel="3">
      <c r="A835" s="2" t="s">
        <v>1539</v>
      </c>
      <c r="B835" s="3" t="s">
        <v>1540</v>
      </c>
      <c r="C835" s="2"/>
      <c r="D835" s="2" t="s">
        <v>16</v>
      </c>
      <c r="E835" s="4">
        <f>685.66*(1-Z1%)</f>
        <v>685.66</v>
      </c>
      <c r="F835" s="2">
        <v>1</v>
      </c>
      <c r="G835" s="2"/>
    </row>
    <row r="836" spans="1:26" customHeight="1" ht="36" hidden="true" outlineLevel="3">
      <c r="A836" s="2" t="s">
        <v>1541</v>
      </c>
      <c r="B836" s="3" t="s">
        <v>1542</v>
      </c>
      <c r="C836" s="2"/>
      <c r="D836" s="2" t="s">
        <v>16</v>
      </c>
      <c r="E836" s="4">
        <f>582.62*(1-Z1%)</f>
        <v>582.62</v>
      </c>
      <c r="F836" s="2">
        <v>3</v>
      </c>
      <c r="G836" s="2"/>
    </row>
    <row r="837" spans="1:26" customHeight="1" ht="36" hidden="true" outlineLevel="3">
      <c r="A837" s="2" t="s">
        <v>1543</v>
      </c>
      <c r="B837" s="3" t="s">
        <v>1544</v>
      </c>
      <c r="C837" s="2"/>
      <c r="D837" s="2" t="s">
        <v>16</v>
      </c>
      <c r="E837" s="4">
        <f>582.62*(1-Z1%)</f>
        <v>582.62</v>
      </c>
      <c r="F837" s="2">
        <v>2</v>
      </c>
      <c r="G837" s="2"/>
    </row>
    <row r="838" spans="1:26" customHeight="1" ht="35" hidden="true" outlineLevel="2">
      <c r="A838" s="5" t="s">
        <v>1545</v>
      </c>
      <c r="B838" s="5"/>
      <c r="C838" s="5"/>
      <c r="D838" s="5"/>
      <c r="E838" s="5"/>
      <c r="F838" s="5"/>
      <c r="G838" s="5"/>
    </row>
    <row r="839" spans="1:26" customHeight="1" ht="35" hidden="true" outlineLevel="3">
      <c r="A839" s="5" t="s">
        <v>1546</v>
      </c>
      <c r="B839" s="5"/>
      <c r="C839" s="5"/>
      <c r="D839" s="5"/>
      <c r="E839" s="5"/>
      <c r="F839" s="5"/>
      <c r="G839" s="5"/>
    </row>
    <row r="840" spans="1:26" customHeight="1" ht="36" hidden="true" outlineLevel="3">
      <c r="A840" s="2" t="s">
        <v>1547</v>
      </c>
      <c r="B840" s="3" t="s">
        <v>1548</v>
      </c>
      <c r="C840" s="2"/>
      <c r="D840" s="2" t="s">
        <v>16</v>
      </c>
      <c r="E840" s="4">
        <f>689.40*(1-Z1%)</f>
        <v>689.4</v>
      </c>
      <c r="F840" s="2">
        <v>1</v>
      </c>
      <c r="G840" s="2"/>
    </row>
    <row r="841" spans="1:26" customHeight="1" ht="36" hidden="true" outlineLevel="3">
      <c r="A841" s="2" t="s">
        <v>1549</v>
      </c>
      <c r="B841" s="3" t="s">
        <v>1550</v>
      </c>
      <c r="C841" s="2"/>
      <c r="D841" s="2" t="s">
        <v>16</v>
      </c>
      <c r="E841" s="4">
        <f>842.63*(1-Z1%)</f>
        <v>842.63</v>
      </c>
      <c r="F841" s="2">
        <v>2</v>
      </c>
      <c r="G841" s="2"/>
    </row>
    <row r="842" spans="1:26" customHeight="1" ht="36" hidden="true" outlineLevel="3">
      <c r="A842" s="2" t="s">
        <v>1551</v>
      </c>
      <c r="B842" s="3" t="s">
        <v>1552</v>
      </c>
      <c r="C842" s="2"/>
      <c r="D842" s="2" t="s">
        <v>16</v>
      </c>
      <c r="E842" s="4">
        <f>860.68*(1-Z1%)</f>
        <v>860.68</v>
      </c>
      <c r="F842" s="2">
        <v>4</v>
      </c>
      <c r="G842" s="2"/>
    </row>
    <row r="843" spans="1:26" customHeight="1" ht="36" hidden="true" outlineLevel="3">
      <c r="A843" s="2" t="s">
        <v>1553</v>
      </c>
      <c r="B843" s="3" t="s">
        <v>1554</v>
      </c>
      <c r="C843" s="2"/>
      <c r="D843" s="2" t="s">
        <v>16</v>
      </c>
      <c r="E843" s="4">
        <f>842.63*(1-Z1%)</f>
        <v>842.63</v>
      </c>
      <c r="F843" s="2">
        <v>3</v>
      </c>
      <c r="G843" s="2"/>
    </row>
    <row r="844" spans="1:26" customHeight="1" ht="36" hidden="true" outlineLevel="3">
      <c r="A844" s="2" t="s">
        <v>1555</v>
      </c>
      <c r="B844" s="3" t="s">
        <v>1556</v>
      </c>
      <c r="C844" s="2"/>
      <c r="D844" s="2" t="s">
        <v>16</v>
      </c>
      <c r="E844" s="4">
        <f>977.74*(1-Z1%)</f>
        <v>977.74</v>
      </c>
      <c r="F844" s="2">
        <v>2</v>
      </c>
      <c r="G844" s="2"/>
    </row>
    <row r="845" spans="1:26" customHeight="1" ht="36" hidden="true" outlineLevel="3">
      <c r="A845" s="2" t="s">
        <v>1557</v>
      </c>
      <c r="B845" s="3" t="s">
        <v>1558</v>
      </c>
      <c r="C845" s="2"/>
      <c r="D845" s="2" t="s">
        <v>16</v>
      </c>
      <c r="E845" s="4">
        <f>782.44*(1-Z1%)</f>
        <v>782.44</v>
      </c>
      <c r="F845" s="2">
        <v>3</v>
      </c>
      <c r="G845" s="2"/>
    </row>
    <row r="846" spans="1:26" customHeight="1" ht="35" hidden="true" outlineLevel="3">
      <c r="A846" s="5" t="s">
        <v>1559</v>
      </c>
      <c r="B846" s="5"/>
      <c r="C846" s="5"/>
      <c r="D846" s="5"/>
      <c r="E846" s="5"/>
      <c r="F846" s="5"/>
      <c r="G846" s="5"/>
    </row>
    <row r="847" spans="1:26" customHeight="1" ht="36" hidden="true" outlineLevel="3">
      <c r="A847" s="2" t="s">
        <v>1560</v>
      </c>
      <c r="B847" s="3" t="s">
        <v>1561</v>
      </c>
      <c r="C847" s="2"/>
      <c r="D847" s="2" t="s">
        <v>16</v>
      </c>
      <c r="E847" s="4">
        <f>547.70*(1-Z1%)</f>
        <v>547.7</v>
      </c>
      <c r="F847" s="2">
        <v>3</v>
      </c>
      <c r="G847" s="2"/>
    </row>
    <row r="848" spans="1:26" customHeight="1" ht="36" hidden="true" outlineLevel="3">
      <c r="A848" s="2" t="s">
        <v>1562</v>
      </c>
      <c r="B848" s="3" t="s">
        <v>1563</v>
      </c>
      <c r="C848" s="2"/>
      <c r="D848" s="2" t="s">
        <v>16</v>
      </c>
      <c r="E848" s="4">
        <f>818.00*(1-Z1%)</f>
        <v>818</v>
      </c>
      <c r="F848" s="2">
        <v>1</v>
      </c>
      <c r="G848" s="2"/>
    </row>
    <row r="849" spans="1:26" customHeight="1" ht="36" hidden="true" outlineLevel="3">
      <c r="A849" s="2" t="s">
        <v>1564</v>
      </c>
      <c r="B849" s="3" t="s">
        <v>1565</v>
      </c>
      <c r="C849" s="2"/>
      <c r="D849" s="2" t="s">
        <v>16</v>
      </c>
      <c r="E849" s="4">
        <f>1197.73*(1-Z1%)</f>
        <v>1197.73</v>
      </c>
      <c r="F849" s="2">
        <v>3</v>
      </c>
      <c r="G849" s="2"/>
    </row>
    <row r="850" spans="1:26" customHeight="1" ht="36" hidden="true" outlineLevel="3">
      <c r="A850" s="2" t="s">
        <v>1566</v>
      </c>
      <c r="B850" s="3" t="s">
        <v>1567</v>
      </c>
      <c r="C850" s="2"/>
      <c r="D850" s="2" t="s">
        <v>16</v>
      </c>
      <c r="E850" s="4">
        <f>782.44*(1-Z1%)</f>
        <v>782.44</v>
      </c>
      <c r="F850" s="2">
        <v>2</v>
      </c>
      <c r="G850" s="2"/>
    </row>
    <row r="851" spans="1:26" customHeight="1" ht="35" hidden="true" outlineLevel="3">
      <c r="A851" s="5" t="s">
        <v>1568</v>
      </c>
      <c r="B851" s="5"/>
      <c r="C851" s="5"/>
      <c r="D851" s="5"/>
      <c r="E851" s="5"/>
      <c r="F851" s="5"/>
      <c r="G851" s="5"/>
    </row>
    <row r="852" spans="1:26" customHeight="1" ht="18" hidden="true" outlineLevel="3">
      <c r="A852" s="2" t="s">
        <v>1569</v>
      </c>
      <c r="B852" s="3" t="s">
        <v>1570</v>
      </c>
      <c r="C852" s="2"/>
      <c r="D852" s="2" t="s">
        <v>16</v>
      </c>
      <c r="E852" s="4">
        <f>379.95*(1-Z1%)</f>
        <v>379.95</v>
      </c>
      <c r="F852" s="2">
        <v>1</v>
      </c>
      <c r="G852" s="2"/>
    </row>
    <row r="853" spans="1:26" customHeight="1" ht="36" hidden="true" outlineLevel="3">
      <c r="A853" s="2" t="s">
        <v>1571</v>
      </c>
      <c r="B853" s="3" t="s">
        <v>1572</v>
      </c>
      <c r="C853" s="2"/>
      <c r="D853" s="2" t="s">
        <v>16</v>
      </c>
      <c r="E853" s="4">
        <f>332.20*(1-Z1%)</f>
        <v>332.2</v>
      </c>
      <c r="F853" s="2">
        <v>15</v>
      </c>
      <c r="G853" s="2"/>
    </row>
    <row r="854" spans="1:26" customHeight="1" ht="36" hidden="true" outlineLevel="3">
      <c r="A854" s="2" t="s">
        <v>1573</v>
      </c>
      <c r="B854" s="3" t="s">
        <v>1574</v>
      </c>
      <c r="C854" s="2"/>
      <c r="D854" s="2" t="s">
        <v>16</v>
      </c>
      <c r="E854" s="4">
        <f>420.84*(1-Z1%)</f>
        <v>420.84</v>
      </c>
      <c r="F854" s="2">
        <v>1</v>
      </c>
      <c r="G854" s="2"/>
    </row>
    <row r="855" spans="1:26" customHeight="1" ht="18" hidden="true" outlineLevel="3">
      <c r="A855" s="2" t="s">
        <v>1575</v>
      </c>
      <c r="B855" s="3" t="s">
        <v>1576</v>
      </c>
      <c r="C855" s="2"/>
      <c r="D855" s="2" t="s">
        <v>16</v>
      </c>
      <c r="E855" s="4">
        <f>276.55*(1-Z1%)</f>
        <v>276.55</v>
      </c>
      <c r="F855" s="2">
        <v>5</v>
      </c>
      <c r="G855" s="2"/>
    </row>
    <row r="856" spans="1:26" customHeight="1" ht="36" hidden="true" outlineLevel="3">
      <c r="A856" s="2" t="s">
        <v>1577</v>
      </c>
      <c r="B856" s="3" t="s">
        <v>1578</v>
      </c>
      <c r="C856" s="2"/>
      <c r="D856" s="2" t="s">
        <v>16</v>
      </c>
      <c r="E856" s="4">
        <f>319.19*(1-Z1%)</f>
        <v>319.19</v>
      </c>
      <c r="F856" s="2">
        <v>4</v>
      </c>
      <c r="G856" s="2"/>
    </row>
    <row r="857" spans="1:26" customHeight="1" ht="36" hidden="true" outlineLevel="3">
      <c r="A857" s="2" t="s">
        <v>1579</v>
      </c>
      <c r="B857" s="3" t="s">
        <v>1580</v>
      </c>
      <c r="C857" s="2"/>
      <c r="D857" s="2" t="s">
        <v>16</v>
      </c>
      <c r="E857" s="4">
        <f>303.26*(1-Z1%)</f>
        <v>303.26</v>
      </c>
      <c r="F857" s="2">
        <v>1</v>
      </c>
      <c r="G857" s="2"/>
    </row>
    <row r="858" spans="1:26" customHeight="1" ht="36" hidden="true" outlineLevel="3">
      <c r="A858" s="2" t="s">
        <v>1581</v>
      </c>
      <c r="B858" s="3" t="s">
        <v>1582</v>
      </c>
      <c r="C858" s="2"/>
      <c r="D858" s="2" t="s">
        <v>16</v>
      </c>
      <c r="E858" s="4">
        <f>303.26*(1-Z1%)</f>
        <v>303.26</v>
      </c>
      <c r="F858" s="2">
        <v>1</v>
      </c>
      <c r="G858" s="2"/>
    </row>
    <row r="859" spans="1:26" customHeight="1" ht="18" hidden="true" outlineLevel="3">
      <c r="A859" s="2" t="s">
        <v>1583</v>
      </c>
      <c r="B859" s="3" t="s">
        <v>1584</v>
      </c>
      <c r="C859" s="2"/>
      <c r="D859" s="2" t="s">
        <v>16</v>
      </c>
      <c r="E859" s="4">
        <f>268.43*(1-Z1%)</f>
        <v>268.43</v>
      </c>
      <c r="F859" s="2">
        <v>4</v>
      </c>
      <c r="G859" s="2"/>
    </row>
    <row r="860" spans="1:26" customHeight="1" ht="18" hidden="true" outlineLevel="3">
      <c r="A860" s="2" t="s">
        <v>1585</v>
      </c>
      <c r="B860" s="3" t="s">
        <v>1586</v>
      </c>
      <c r="C860" s="2"/>
      <c r="D860" s="2" t="s">
        <v>16</v>
      </c>
      <c r="E860" s="4">
        <f>300.94*(1-Z1%)</f>
        <v>300.94</v>
      </c>
      <c r="F860" s="2">
        <v>7</v>
      </c>
      <c r="G860" s="2"/>
    </row>
    <row r="861" spans="1:26" customHeight="1" ht="18" hidden="true" outlineLevel="3">
      <c r="A861" s="2" t="s">
        <v>1587</v>
      </c>
      <c r="B861" s="3" t="s">
        <v>1588</v>
      </c>
      <c r="C861" s="2"/>
      <c r="D861" s="2" t="s">
        <v>16</v>
      </c>
      <c r="E861" s="4">
        <f>264.83*(1-Z1%)</f>
        <v>264.83</v>
      </c>
      <c r="F861" s="2">
        <v>7</v>
      </c>
      <c r="G861" s="2"/>
    </row>
    <row r="862" spans="1:26" customHeight="1" ht="18" hidden="true" outlineLevel="3">
      <c r="A862" s="2" t="s">
        <v>1589</v>
      </c>
      <c r="B862" s="3" t="s">
        <v>1590</v>
      </c>
      <c r="C862" s="2"/>
      <c r="D862" s="2" t="s">
        <v>16</v>
      </c>
      <c r="E862" s="4">
        <f>292.51*(1-Z1%)</f>
        <v>292.51</v>
      </c>
      <c r="F862" s="2">
        <v>3</v>
      </c>
      <c r="G862" s="2"/>
    </row>
    <row r="863" spans="1:26" customHeight="1" ht="36" hidden="true" outlineLevel="3">
      <c r="A863" s="2" t="s">
        <v>1591</v>
      </c>
      <c r="B863" s="3" t="s">
        <v>1592</v>
      </c>
      <c r="C863" s="2"/>
      <c r="D863" s="2" t="s">
        <v>16</v>
      </c>
      <c r="E863" s="4">
        <f>385.20*(1-Z1%)</f>
        <v>385.2</v>
      </c>
      <c r="F863" s="2">
        <v>3</v>
      </c>
      <c r="G863" s="2"/>
    </row>
    <row r="864" spans="1:26" customHeight="1" ht="36" hidden="true" outlineLevel="3">
      <c r="A864" s="2" t="s">
        <v>1593</v>
      </c>
      <c r="B864" s="3" t="s">
        <v>1594</v>
      </c>
      <c r="C864" s="2"/>
      <c r="D864" s="2" t="s">
        <v>16</v>
      </c>
      <c r="E864" s="4">
        <f>433.35*(1-Z1%)</f>
        <v>433.35</v>
      </c>
      <c r="F864" s="2">
        <v>3</v>
      </c>
      <c r="G864" s="2"/>
    </row>
    <row r="865" spans="1:26" customHeight="1" ht="36" hidden="true" outlineLevel="3">
      <c r="A865" s="2" t="s">
        <v>1595</v>
      </c>
      <c r="B865" s="3" t="s">
        <v>1596</v>
      </c>
      <c r="C865" s="2"/>
      <c r="D865" s="2" t="s">
        <v>16</v>
      </c>
      <c r="E865" s="4">
        <f>355.10*(1-Z1%)</f>
        <v>355.1</v>
      </c>
      <c r="F865" s="2">
        <v>1</v>
      </c>
      <c r="G865" s="2"/>
    </row>
    <row r="866" spans="1:26" customHeight="1" ht="36" hidden="true" outlineLevel="3">
      <c r="A866" s="2" t="s">
        <v>1597</v>
      </c>
      <c r="B866" s="3" t="s">
        <v>1598</v>
      </c>
      <c r="C866" s="2"/>
      <c r="D866" s="2" t="s">
        <v>16</v>
      </c>
      <c r="E866" s="4">
        <f>758.37*(1-Z1%)</f>
        <v>758.37</v>
      </c>
      <c r="F866" s="2">
        <v>3</v>
      </c>
      <c r="G866" s="2"/>
    </row>
    <row r="867" spans="1:26" customHeight="1" ht="36" hidden="true" outlineLevel="3">
      <c r="A867" s="2" t="s">
        <v>1599</v>
      </c>
      <c r="B867" s="3" t="s">
        <v>1600</v>
      </c>
      <c r="C867" s="2"/>
      <c r="D867" s="2" t="s">
        <v>16</v>
      </c>
      <c r="E867" s="4">
        <f>794.48*(1-Z1%)</f>
        <v>794.48</v>
      </c>
      <c r="F867" s="2">
        <v>2</v>
      </c>
      <c r="G867" s="2"/>
    </row>
    <row r="868" spans="1:26" customHeight="1" ht="36" hidden="true" outlineLevel="3">
      <c r="A868" s="2" t="s">
        <v>1601</v>
      </c>
      <c r="B868" s="3" t="s">
        <v>1602</v>
      </c>
      <c r="C868" s="2"/>
      <c r="D868" s="2" t="s">
        <v>16</v>
      </c>
      <c r="E868" s="4">
        <f>607.52*(1-Z1%)</f>
        <v>607.52</v>
      </c>
      <c r="F868" s="2">
        <v>1</v>
      </c>
      <c r="G868" s="2"/>
    </row>
    <row r="869" spans="1:26" customHeight="1" ht="36" hidden="true" outlineLevel="3">
      <c r="A869" s="2" t="s">
        <v>1603</v>
      </c>
      <c r="B869" s="3" t="s">
        <v>1604</v>
      </c>
      <c r="C869" s="2"/>
      <c r="D869" s="2" t="s">
        <v>16</v>
      </c>
      <c r="E869" s="4">
        <f>528.44*(1-Z1%)</f>
        <v>528.44</v>
      </c>
      <c r="F869" s="2">
        <v>3</v>
      </c>
      <c r="G869" s="2"/>
    </row>
    <row r="870" spans="1:26" customHeight="1" ht="36" hidden="true" outlineLevel="3">
      <c r="A870" s="2" t="s">
        <v>1605</v>
      </c>
      <c r="B870" s="3" t="s">
        <v>1606</v>
      </c>
      <c r="C870" s="2"/>
      <c r="D870" s="2" t="s">
        <v>16</v>
      </c>
      <c r="E870" s="4">
        <f>601.88*(1-Z1%)</f>
        <v>601.88</v>
      </c>
      <c r="F870" s="2">
        <v>3</v>
      </c>
      <c r="G870" s="2"/>
    </row>
    <row r="871" spans="1:26" customHeight="1" ht="36" hidden="true" outlineLevel="3">
      <c r="A871" s="2" t="s">
        <v>1607</v>
      </c>
      <c r="B871" s="3" t="s">
        <v>1608</v>
      </c>
      <c r="C871" s="2"/>
      <c r="D871" s="2" t="s">
        <v>16</v>
      </c>
      <c r="E871" s="4">
        <f>613.84*(1-Z1%)</f>
        <v>613.84</v>
      </c>
      <c r="F871" s="2">
        <v>2</v>
      </c>
      <c r="G871" s="2"/>
    </row>
    <row r="872" spans="1:26" customHeight="1" ht="36" hidden="true" outlineLevel="3">
      <c r="A872" s="2" t="s">
        <v>1609</v>
      </c>
      <c r="B872" s="3" t="s">
        <v>1610</v>
      </c>
      <c r="C872" s="2"/>
      <c r="D872" s="2" t="s">
        <v>16</v>
      </c>
      <c r="E872" s="4">
        <f>68.07*(1-Z1%)</f>
        <v>68.07</v>
      </c>
      <c r="F872" s="2">
        <v>6</v>
      </c>
      <c r="G872" s="2"/>
    </row>
    <row r="873" spans="1:26" customHeight="1" ht="36" hidden="true" outlineLevel="3">
      <c r="A873" s="2" t="s">
        <v>1611</v>
      </c>
      <c r="B873" s="3" t="s">
        <v>1612</v>
      </c>
      <c r="C873" s="2"/>
      <c r="D873" s="2" t="s">
        <v>16</v>
      </c>
      <c r="E873" s="4">
        <f>68.07*(1-Z1%)</f>
        <v>68.07</v>
      </c>
      <c r="F873" s="2">
        <v>6</v>
      </c>
      <c r="G873" s="2"/>
    </row>
    <row r="874" spans="1:26" customHeight="1" ht="36" hidden="true" outlineLevel="3">
      <c r="A874" s="2" t="s">
        <v>1613</v>
      </c>
      <c r="B874" s="3" t="s">
        <v>1614</v>
      </c>
      <c r="C874" s="2"/>
      <c r="D874" s="2" t="s">
        <v>16</v>
      </c>
      <c r="E874" s="4">
        <f>95.29*(1-Z1%)</f>
        <v>95.29</v>
      </c>
      <c r="F874" s="2">
        <v>5</v>
      </c>
      <c r="G874" s="2"/>
    </row>
    <row r="875" spans="1:26" customHeight="1" ht="35" hidden="true" outlineLevel="2">
      <c r="A875" s="5" t="s">
        <v>1615</v>
      </c>
      <c r="B875" s="5"/>
      <c r="C875" s="5"/>
      <c r="D875" s="5"/>
      <c r="E875" s="5"/>
      <c r="F875" s="5"/>
      <c r="G875" s="5"/>
    </row>
    <row r="876" spans="1:26" customHeight="1" ht="35" hidden="true" outlineLevel="3">
      <c r="A876" s="5" t="s">
        <v>1616</v>
      </c>
      <c r="B876" s="5"/>
      <c r="C876" s="5"/>
      <c r="D876" s="5"/>
      <c r="E876" s="5"/>
      <c r="F876" s="5"/>
      <c r="G876" s="5"/>
    </row>
    <row r="877" spans="1:26" customHeight="1" ht="36" hidden="true" outlineLevel="3">
      <c r="A877" s="2" t="s">
        <v>1617</v>
      </c>
      <c r="B877" s="3" t="s">
        <v>1618</v>
      </c>
      <c r="C877" s="2"/>
      <c r="D877" s="2" t="s">
        <v>16</v>
      </c>
      <c r="E877" s="4">
        <f>211.49*(1-Z1%)</f>
        <v>211.49</v>
      </c>
      <c r="F877" s="2">
        <v>1</v>
      </c>
      <c r="G877" s="2"/>
    </row>
    <row r="878" spans="1:26" customHeight="1" ht="35" hidden="true" outlineLevel="3">
      <c r="A878" s="5" t="s">
        <v>1619</v>
      </c>
      <c r="B878" s="5"/>
      <c r="C878" s="5"/>
      <c r="D878" s="5"/>
      <c r="E878" s="5"/>
      <c r="F878" s="5"/>
      <c r="G878" s="5"/>
    </row>
    <row r="879" spans="1:26" customHeight="1" ht="36" hidden="true" outlineLevel="3">
      <c r="A879" s="2" t="s">
        <v>1620</v>
      </c>
      <c r="B879" s="3" t="s">
        <v>1621</v>
      </c>
      <c r="C879" s="2"/>
      <c r="D879" s="2" t="s">
        <v>16</v>
      </c>
      <c r="E879" s="4">
        <f>86.63*(1-Z1%)</f>
        <v>86.63</v>
      </c>
      <c r="F879" s="2">
        <v>6</v>
      </c>
      <c r="G879" s="2"/>
    </row>
    <row r="880" spans="1:26" customHeight="1" ht="35" hidden="true" outlineLevel="2">
      <c r="A880" s="5" t="s">
        <v>1622</v>
      </c>
      <c r="B880" s="5"/>
      <c r="C880" s="5"/>
      <c r="D880" s="5"/>
      <c r="E880" s="5"/>
      <c r="F880" s="5"/>
      <c r="G880" s="5"/>
    </row>
    <row r="881" spans="1:26" customHeight="1" ht="35" hidden="true" outlineLevel="3">
      <c r="A881" s="5" t="s">
        <v>1623</v>
      </c>
      <c r="B881" s="5"/>
      <c r="C881" s="5"/>
      <c r="D881" s="5"/>
      <c r="E881" s="5"/>
      <c r="F881" s="5"/>
      <c r="G881" s="5"/>
    </row>
    <row r="882" spans="1:26" customHeight="1" ht="18" hidden="true" outlineLevel="3">
      <c r="A882" s="2" t="s">
        <v>1624</v>
      </c>
      <c r="B882" s="3" t="s">
        <v>1625</v>
      </c>
      <c r="C882" s="2"/>
      <c r="D882" s="2" t="s">
        <v>16</v>
      </c>
      <c r="E882" s="4">
        <f>227.01*(1-Z1%)</f>
        <v>227.01</v>
      </c>
      <c r="F882" s="2">
        <v>8</v>
      </c>
      <c r="G882" s="2"/>
    </row>
    <row r="883" spans="1:26" customHeight="1" ht="18" hidden="true" outlineLevel="3">
      <c r="A883" s="2" t="s">
        <v>1626</v>
      </c>
      <c r="B883" s="3" t="s">
        <v>1627</v>
      </c>
      <c r="C883" s="2"/>
      <c r="D883" s="2" t="s">
        <v>16</v>
      </c>
      <c r="E883" s="4">
        <f>301.49*(1-Z1%)</f>
        <v>301.49</v>
      </c>
      <c r="F883" s="2">
        <v>1</v>
      </c>
      <c r="G883" s="2"/>
    </row>
    <row r="884" spans="1:26" customHeight="1" ht="18" hidden="true" outlineLevel="3">
      <c r="A884" s="2" t="s">
        <v>1628</v>
      </c>
      <c r="B884" s="3" t="s">
        <v>1629</v>
      </c>
      <c r="C884" s="2"/>
      <c r="D884" s="2" t="s">
        <v>16</v>
      </c>
      <c r="E884" s="4">
        <f>320.17*(1-Z1%)</f>
        <v>320.17</v>
      </c>
      <c r="F884" s="2">
        <v>6</v>
      </c>
      <c r="G884" s="2"/>
    </row>
    <row r="885" spans="1:26" customHeight="1" ht="18" hidden="true" outlineLevel="3">
      <c r="A885" s="2" t="s">
        <v>1630</v>
      </c>
      <c r="B885" s="3" t="s">
        <v>1631</v>
      </c>
      <c r="C885" s="2"/>
      <c r="D885" s="2" t="s">
        <v>16</v>
      </c>
      <c r="E885" s="4">
        <f>342.40*(1-Z1%)</f>
        <v>342.4</v>
      </c>
      <c r="F885" s="2">
        <v>1</v>
      </c>
      <c r="G885" s="2"/>
    </row>
    <row r="886" spans="1:26" customHeight="1" ht="18" hidden="true" outlineLevel="3">
      <c r="A886" s="2" t="s">
        <v>1632</v>
      </c>
      <c r="B886" s="3" t="s">
        <v>1633</v>
      </c>
      <c r="C886" s="2"/>
      <c r="D886" s="2" t="s">
        <v>16</v>
      </c>
      <c r="E886" s="4">
        <f>367.52*(1-Z1%)</f>
        <v>367.52</v>
      </c>
      <c r="F886" s="2">
        <v>5</v>
      </c>
      <c r="G886" s="2"/>
    </row>
    <row r="887" spans="1:26" customHeight="1" ht="18" hidden="true" outlineLevel="3">
      <c r="A887" s="2" t="s">
        <v>1634</v>
      </c>
      <c r="B887" s="3" t="s">
        <v>1635</v>
      </c>
      <c r="C887" s="2"/>
      <c r="D887" s="2" t="s">
        <v>16</v>
      </c>
      <c r="E887" s="4">
        <f>374.91*(1-Z1%)</f>
        <v>374.91</v>
      </c>
      <c r="F887" s="2">
        <v>7</v>
      </c>
      <c r="G887" s="2"/>
    </row>
    <row r="888" spans="1:26" customHeight="1" ht="18" hidden="true" outlineLevel="3">
      <c r="A888" s="2" t="s">
        <v>1636</v>
      </c>
      <c r="B888" s="3" t="s">
        <v>1637</v>
      </c>
      <c r="C888" s="2"/>
      <c r="D888" s="2" t="s">
        <v>16</v>
      </c>
      <c r="E888" s="4">
        <f>347.36*(1-Z1%)</f>
        <v>347.36</v>
      </c>
      <c r="F888" s="2">
        <v>3</v>
      </c>
      <c r="G888" s="2"/>
    </row>
    <row r="889" spans="1:26" customHeight="1" ht="36" hidden="true" outlineLevel="3">
      <c r="A889" s="2" t="s">
        <v>1638</v>
      </c>
      <c r="B889" s="3" t="s">
        <v>1639</v>
      </c>
      <c r="C889" s="2"/>
      <c r="D889" s="2" t="s">
        <v>16</v>
      </c>
      <c r="E889" s="4">
        <f>346.61*(1-Z1%)</f>
        <v>346.61</v>
      </c>
      <c r="F889" s="2">
        <v>4</v>
      </c>
      <c r="G889" s="2"/>
    </row>
    <row r="890" spans="1:26" customHeight="1" ht="18" hidden="true" outlineLevel="3">
      <c r="A890" s="2" t="s">
        <v>1640</v>
      </c>
      <c r="B890" s="3" t="s">
        <v>1641</v>
      </c>
      <c r="C890" s="2"/>
      <c r="D890" s="2" t="s">
        <v>16</v>
      </c>
      <c r="E890" s="4">
        <f>347.24*(1-Z1%)</f>
        <v>347.24</v>
      </c>
      <c r="F890" s="2">
        <v>6</v>
      </c>
      <c r="G890" s="2"/>
    </row>
    <row r="891" spans="1:26" customHeight="1" ht="18" hidden="true" outlineLevel="3">
      <c r="A891" s="2" t="s">
        <v>1642</v>
      </c>
      <c r="B891" s="3" t="s">
        <v>1643</v>
      </c>
      <c r="C891" s="2"/>
      <c r="D891" s="2" t="s">
        <v>16</v>
      </c>
      <c r="E891" s="4">
        <f>361.91*(1-Z1%)</f>
        <v>361.91</v>
      </c>
      <c r="F891" s="2">
        <v>6</v>
      </c>
      <c r="G891" s="2"/>
    </row>
    <row r="892" spans="1:26" customHeight="1" ht="18" hidden="true" outlineLevel="3">
      <c r="A892" s="2" t="s">
        <v>1644</v>
      </c>
      <c r="B892" s="3" t="s">
        <v>1645</v>
      </c>
      <c r="C892" s="2"/>
      <c r="D892" s="2" t="s">
        <v>16</v>
      </c>
      <c r="E892" s="4">
        <f>349.09*(1-Z1%)</f>
        <v>349.09</v>
      </c>
      <c r="F892" s="2">
        <v>1</v>
      </c>
      <c r="G892" s="2"/>
    </row>
    <row r="893" spans="1:26" customHeight="1" ht="36" hidden="true" outlineLevel="3">
      <c r="A893" s="2" t="s">
        <v>1646</v>
      </c>
      <c r="B893" s="3" t="s">
        <v>1647</v>
      </c>
      <c r="C893" s="2"/>
      <c r="D893" s="2" t="s">
        <v>16</v>
      </c>
      <c r="E893" s="4">
        <f>335.96*(1-Z1%)</f>
        <v>335.96</v>
      </c>
      <c r="F893" s="2">
        <v>7</v>
      </c>
      <c r="G893" s="2"/>
    </row>
    <row r="894" spans="1:26" customHeight="1" ht="18" hidden="true" outlineLevel="3">
      <c r="A894" s="2" t="s">
        <v>1648</v>
      </c>
      <c r="B894" s="3" t="s">
        <v>1649</v>
      </c>
      <c r="C894" s="2"/>
      <c r="D894" s="2" t="s">
        <v>16</v>
      </c>
      <c r="E894" s="4">
        <f>365.73*(1-Z1%)</f>
        <v>365.73</v>
      </c>
      <c r="F894" s="2">
        <v>5</v>
      </c>
      <c r="G894" s="2"/>
    </row>
    <row r="895" spans="1:26" customHeight="1" ht="36" hidden="true" outlineLevel="3">
      <c r="A895" s="2" t="s">
        <v>1650</v>
      </c>
      <c r="B895" s="3" t="s">
        <v>1651</v>
      </c>
      <c r="C895" s="2"/>
      <c r="D895" s="2" t="s">
        <v>16</v>
      </c>
      <c r="E895" s="4">
        <f>368.81*(1-Z1%)</f>
        <v>368.81</v>
      </c>
      <c r="F895" s="2">
        <v>4</v>
      </c>
      <c r="G895" s="2"/>
    </row>
    <row r="896" spans="1:26" customHeight="1" ht="36" hidden="true" outlineLevel="3">
      <c r="A896" s="2" t="s">
        <v>1652</v>
      </c>
      <c r="B896" s="3" t="s">
        <v>1653</v>
      </c>
      <c r="C896" s="2"/>
      <c r="D896" s="2" t="s">
        <v>16</v>
      </c>
      <c r="E896" s="4">
        <f>320.34*(1-Z1%)</f>
        <v>320.34</v>
      </c>
      <c r="F896" s="2">
        <v>3</v>
      </c>
      <c r="G896" s="2"/>
    </row>
    <row r="897" spans="1:26" customHeight="1" ht="36" hidden="true" outlineLevel="3">
      <c r="A897" s="2" t="s">
        <v>1654</v>
      </c>
      <c r="B897" s="3" t="s">
        <v>1655</v>
      </c>
      <c r="C897" s="2"/>
      <c r="D897" s="2" t="s">
        <v>16</v>
      </c>
      <c r="E897" s="4">
        <f>325.44*(1-Z1%)</f>
        <v>325.44</v>
      </c>
      <c r="F897" s="2">
        <v>6</v>
      </c>
      <c r="G897" s="2"/>
    </row>
    <row r="898" spans="1:26" customHeight="1" ht="36" hidden="true" outlineLevel="3">
      <c r="A898" s="2" t="s">
        <v>1656</v>
      </c>
      <c r="B898" s="3" t="s">
        <v>1657</v>
      </c>
      <c r="C898" s="2"/>
      <c r="D898" s="2" t="s">
        <v>16</v>
      </c>
      <c r="E898" s="4">
        <f>321.36*(1-Z1%)</f>
        <v>321.36</v>
      </c>
      <c r="F898" s="2">
        <v>5</v>
      </c>
      <c r="G898" s="2"/>
    </row>
    <row r="899" spans="1:26" customHeight="1" ht="36" hidden="true" outlineLevel="3">
      <c r="A899" s="2" t="s">
        <v>1658</v>
      </c>
      <c r="B899" s="3" t="s">
        <v>1659</v>
      </c>
      <c r="C899" s="2"/>
      <c r="D899" s="2" t="s">
        <v>16</v>
      </c>
      <c r="E899" s="4">
        <f>368.81*(1-Z1%)</f>
        <v>368.81</v>
      </c>
      <c r="F899" s="2">
        <v>7</v>
      </c>
      <c r="G899" s="2"/>
    </row>
    <row r="900" spans="1:26" customHeight="1" ht="36" hidden="true" outlineLevel="3">
      <c r="A900" s="2" t="s">
        <v>1660</v>
      </c>
      <c r="B900" s="3" t="s">
        <v>1661</v>
      </c>
      <c r="C900" s="2"/>
      <c r="D900" s="2" t="s">
        <v>16</v>
      </c>
      <c r="E900" s="4">
        <f>352.09*(1-Z1%)</f>
        <v>352.09</v>
      </c>
      <c r="F900" s="2">
        <v>1</v>
      </c>
      <c r="G900" s="2"/>
    </row>
    <row r="901" spans="1:26" customHeight="1" ht="36" hidden="true" outlineLevel="3">
      <c r="A901" s="2" t="s">
        <v>1662</v>
      </c>
      <c r="B901" s="3" t="s">
        <v>1663</v>
      </c>
      <c r="C901" s="2"/>
      <c r="D901" s="2" t="s">
        <v>16</v>
      </c>
      <c r="E901" s="4">
        <f>332.45*(1-Z1%)</f>
        <v>332.45</v>
      </c>
      <c r="F901" s="2">
        <v>3</v>
      </c>
      <c r="G901" s="2"/>
    </row>
    <row r="902" spans="1:26" customHeight="1" ht="36" hidden="true" outlineLevel="3">
      <c r="A902" s="2" t="s">
        <v>1664</v>
      </c>
      <c r="B902" s="3" t="s">
        <v>1665</v>
      </c>
      <c r="C902" s="2"/>
      <c r="D902" s="2" t="s">
        <v>16</v>
      </c>
      <c r="E902" s="4">
        <f>339.47*(1-Z1%)</f>
        <v>339.47</v>
      </c>
      <c r="F902" s="2">
        <v>1</v>
      </c>
      <c r="G902" s="2"/>
    </row>
    <row r="903" spans="1:26" customHeight="1" ht="18" hidden="true" outlineLevel="3">
      <c r="A903" s="2" t="s">
        <v>1666</v>
      </c>
      <c r="B903" s="3" t="s">
        <v>1667</v>
      </c>
      <c r="C903" s="2"/>
      <c r="D903" s="2" t="s">
        <v>16</v>
      </c>
      <c r="E903" s="4">
        <f>285.87*(1-Z1%)</f>
        <v>285.87</v>
      </c>
      <c r="F903" s="2">
        <v>1</v>
      </c>
      <c r="G903" s="2"/>
    </row>
    <row r="904" spans="1:26" customHeight="1" ht="18" hidden="true" outlineLevel="3">
      <c r="A904" s="2" t="s">
        <v>1668</v>
      </c>
      <c r="B904" s="3" t="s">
        <v>1669</v>
      </c>
      <c r="C904" s="2"/>
      <c r="D904" s="2" t="s">
        <v>16</v>
      </c>
      <c r="E904" s="4">
        <f>313.66*(1-Z1%)</f>
        <v>313.66</v>
      </c>
      <c r="F904" s="2">
        <v>5</v>
      </c>
      <c r="G904" s="2"/>
    </row>
    <row r="905" spans="1:26" customHeight="1" ht="18" hidden="true" outlineLevel="3">
      <c r="A905" s="2" t="s">
        <v>1670</v>
      </c>
      <c r="B905" s="3" t="s">
        <v>1671</v>
      </c>
      <c r="C905" s="2"/>
      <c r="D905" s="2" t="s">
        <v>16</v>
      </c>
      <c r="E905" s="4">
        <f>337.05*(1-Z1%)</f>
        <v>337.05</v>
      </c>
      <c r="F905" s="2">
        <v>3</v>
      </c>
      <c r="G905" s="2"/>
    </row>
    <row r="906" spans="1:26" customHeight="1" ht="18" hidden="true" outlineLevel="3">
      <c r="A906" s="2" t="s">
        <v>1672</v>
      </c>
      <c r="B906" s="3" t="s">
        <v>1673</v>
      </c>
      <c r="C906" s="2"/>
      <c r="D906" s="2" t="s">
        <v>16</v>
      </c>
      <c r="E906" s="4">
        <f>337.05*(1-Z1%)</f>
        <v>337.05</v>
      </c>
      <c r="F906" s="2">
        <v>1</v>
      </c>
      <c r="G906" s="2"/>
    </row>
    <row r="907" spans="1:26" customHeight="1" ht="18" hidden="true" outlineLevel="3">
      <c r="A907" s="2" t="s">
        <v>1674</v>
      </c>
      <c r="B907" s="3" t="s">
        <v>1675</v>
      </c>
      <c r="C907" s="2"/>
      <c r="D907" s="2" t="s">
        <v>16</v>
      </c>
      <c r="E907" s="4">
        <f>337.05*(1-Z1%)</f>
        <v>337.05</v>
      </c>
      <c r="F907" s="2">
        <v>3</v>
      </c>
      <c r="G907" s="2"/>
    </row>
    <row r="908" spans="1:26" customHeight="1" ht="18" hidden="true" outlineLevel="3">
      <c r="A908" s="2" t="s">
        <v>1676</v>
      </c>
      <c r="B908" s="3" t="s">
        <v>1677</v>
      </c>
      <c r="C908" s="2"/>
      <c r="D908" s="2" t="s">
        <v>16</v>
      </c>
      <c r="E908" s="4">
        <f>331.03*(1-Z1%)</f>
        <v>331.03</v>
      </c>
      <c r="F908" s="2">
        <v>2</v>
      </c>
      <c r="G908" s="2"/>
    </row>
    <row r="909" spans="1:26" customHeight="1" ht="18" hidden="true" outlineLevel="3">
      <c r="A909" s="2" t="s">
        <v>1678</v>
      </c>
      <c r="B909" s="3" t="s">
        <v>1679</v>
      </c>
      <c r="C909" s="2"/>
      <c r="D909" s="2" t="s">
        <v>16</v>
      </c>
      <c r="E909" s="4">
        <f>397.24*(1-Z1%)</f>
        <v>397.24</v>
      </c>
      <c r="F909" s="2">
        <v>1</v>
      </c>
      <c r="G909" s="2"/>
    </row>
    <row r="910" spans="1:26" customHeight="1" ht="18" hidden="true" outlineLevel="3">
      <c r="A910" s="2" t="s">
        <v>1680</v>
      </c>
      <c r="B910" s="3" t="s">
        <v>1681</v>
      </c>
      <c r="C910" s="2"/>
      <c r="D910" s="2" t="s">
        <v>16</v>
      </c>
      <c r="E910" s="4">
        <f>397.24*(1-Z1%)</f>
        <v>397.24</v>
      </c>
      <c r="F910" s="2">
        <v>1</v>
      </c>
      <c r="G910" s="2"/>
    </row>
    <row r="911" spans="1:26" customHeight="1" ht="36" hidden="true" outlineLevel="3">
      <c r="A911" s="2" t="s">
        <v>1682</v>
      </c>
      <c r="B911" s="3" t="s">
        <v>1683</v>
      </c>
      <c r="C911" s="2"/>
      <c r="D911" s="2" t="s">
        <v>16</v>
      </c>
      <c r="E911" s="4">
        <f>445.39*(1-Z1%)</f>
        <v>445.39</v>
      </c>
      <c r="F911" s="2">
        <v>1</v>
      </c>
      <c r="G911" s="2"/>
    </row>
    <row r="912" spans="1:26" customHeight="1" ht="36" hidden="true" outlineLevel="3">
      <c r="A912" s="2" t="s">
        <v>1684</v>
      </c>
      <c r="B912" s="3" t="s">
        <v>1685</v>
      </c>
      <c r="C912" s="2"/>
      <c r="D912" s="2" t="s">
        <v>16</v>
      </c>
      <c r="E912" s="4">
        <f>397.24*(1-Z1%)</f>
        <v>397.24</v>
      </c>
      <c r="F912" s="2">
        <v>2</v>
      </c>
      <c r="G912" s="2"/>
    </row>
    <row r="913" spans="1:26" customHeight="1" ht="36" hidden="true" outlineLevel="3">
      <c r="A913" s="2" t="s">
        <v>1686</v>
      </c>
      <c r="B913" s="3" t="s">
        <v>1687</v>
      </c>
      <c r="C913" s="2"/>
      <c r="D913" s="2" t="s">
        <v>16</v>
      </c>
      <c r="E913" s="4">
        <f>397.24*(1-Z1%)</f>
        <v>397.24</v>
      </c>
      <c r="F913" s="2">
        <v>2</v>
      </c>
      <c r="G913" s="2"/>
    </row>
    <row r="914" spans="1:26" customHeight="1" ht="36" hidden="true" outlineLevel="3">
      <c r="A914" s="2" t="s">
        <v>1688</v>
      </c>
      <c r="B914" s="3" t="s">
        <v>1689</v>
      </c>
      <c r="C914" s="2"/>
      <c r="D914" s="2" t="s">
        <v>16</v>
      </c>
      <c r="E914" s="4">
        <f>397.24*(1-Z1%)</f>
        <v>397.24</v>
      </c>
      <c r="F914" s="2">
        <v>3</v>
      </c>
      <c r="G914" s="2"/>
    </row>
    <row r="915" spans="1:26" customHeight="1" ht="18" hidden="true" outlineLevel="3">
      <c r="A915" s="2" t="s">
        <v>1690</v>
      </c>
      <c r="B915" s="3" t="s">
        <v>1691</v>
      </c>
      <c r="C915" s="2"/>
      <c r="D915" s="2" t="s">
        <v>16</v>
      </c>
      <c r="E915" s="4">
        <f>359.92*(1-Z1%)</f>
        <v>359.92</v>
      </c>
      <c r="F915" s="2">
        <v>14</v>
      </c>
      <c r="G915" s="2"/>
    </row>
    <row r="916" spans="1:26" customHeight="1" ht="18" hidden="true" outlineLevel="3">
      <c r="A916" s="2" t="s">
        <v>1692</v>
      </c>
      <c r="B916" s="3" t="s">
        <v>1693</v>
      </c>
      <c r="C916" s="2"/>
      <c r="D916" s="2" t="s">
        <v>16</v>
      </c>
      <c r="E916" s="4">
        <f>445.39*(1-Z1%)</f>
        <v>445.39</v>
      </c>
      <c r="F916" s="2">
        <v>2</v>
      </c>
      <c r="G916" s="2"/>
    </row>
    <row r="917" spans="1:26" customHeight="1" ht="18" hidden="true" outlineLevel="3">
      <c r="A917" s="2" t="s">
        <v>1694</v>
      </c>
      <c r="B917" s="3" t="s">
        <v>1695</v>
      </c>
      <c r="C917" s="2"/>
      <c r="D917" s="2" t="s">
        <v>16</v>
      </c>
      <c r="E917" s="4">
        <f>511.60*(1-Z1%)</f>
        <v>511.6</v>
      </c>
      <c r="F917" s="2">
        <v>2</v>
      </c>
      <c r="G917" s="2"/>
    </row>
    <row r="918" spans="1:26" customHeight="1" ht="18" hidden="true" outlineLevel="3">
      <c r="A918" s="2" t="s">
        <v>1696</v>
      </c>
      <c r="B918" s="3" t="s">
        <v>1697</v>
      </c>
      <c r="C918" s="2"/>
      <c r="D918" s="2" t="s">
        <v>16</v>
      </c>
      <c r="E918" s="4">
        <f>421.32*(1-Z1%)</f>
        <v>421.32</v>
      </c>
      <c r="F918" s="2">
        <v>3</v>
      </c>
      <c r="G918" s="2"/>
    </row>
    <row r="919" spans="1:26" customHeight="1" ht="18" hidden="true" outlineLevel="3">
      <c r="A919" s="2" t="s">
        <v>1698</v>
      </c>
      <c r="B919" s="3" t="s">
        <v>1699</v>
      </c>
      <c r="C919" s="2"/>
      <c r="D919" s="2" t="s">
        <v>16</v>
      </c>
      <c r="E919" s="4">
        <f>511.60*(1-Z1%)</f>
        <v>511.6</v>
      </c>
      <c r="F919" s="2">
        <v>1</v>
      </c>
      <c r="G919" s="2"/>
    </row>
    <row r="920" spans="1:26" customHeight="1" ht="18" hidden="true" outlineLevel="3">
      <c r="A920" s="2" t="s">
        <v>1700</v>
      </c>
      <c r="B920" s="3" t="s">
        <v>1701</v>
      </c>
      <c r="C920" s="2"/>
      <c r="D920" s="2" t="s">
        <v>16</v>
      </c>
      <c r="E920" s="4">
        <f>511.60*(1-Z1%)</f>
        <v>511.6</v>
      </c>
      <c r="F920" s="2">
        <v>2</v>
      </c>
      <c r="G920" s="2"/>
    </row>
    <row r="921" spans="1:26" customHeight="1" ht="18" hidden="true" outlineLevel="3">
      <c r="A921" s="2" t="s">
        <v>1702</v>
      </c>
      <c r="B921" s="3" t="s">
        <v>1703</v>
      </c>
      <c r="C921" s="2"/>
      <c r="D921" s="2" t="s">
        <v>16</v>
      </c>
      <c r="E921" s="4">
        <f>337.05*(1-Z1%)</f>
        <v>337.05</v>
      </c>
      <c r="F921" s="2">
        <v>3</v>
      </c>
      <c r="G921" s="2"/>
    </row>
    <row r="922" spans="1:26" customHeight="1" ht="18" hidden="true" outlineLevel="3">
      <c r="A922" s="2" t="s">
        <v>1704</v>
      </c>
      <c r="B922" s="3" t="s">
        <v>1705</v>
      </c>
      <c r="C922" s="2"/>
      <c r="D922" s="2" t="s">
        <v>16</v>
      </c>
      <c r="E922" s="4">
        <f>337.05*(1-Z1%)</f>
        <v>337.05</v>
      </c>
      <c r="F922" s="2">
        <v>2</v>
      </c>
      <c r="G922" s="2"/>
    </row>
    <row r="923" spans="1:26" customHeight="1" ht="18" hidden="true" outlineLevel="3">
      <c r="A923" s="2" t="s">
        <v>1706</v>
      </c>
      <c r="B923" s="3" t="s">
        <v>1707</v>
      </c>
      <c r="C923" s="2"/>
      <c r="D923" s="2" t="s">
        <v>16</v>
      </c>
      <c r="E923" s="4">
        <f>337.05*(1-Z1%)</f>
        <v>337.05</v>
      </c>
      <c r="F923" s="2">
        <v>2</v>
      </c>
      <c r="G923" s="2"/>
    </row>
    <row r="924" spans="1:26" customHeight="1" ht="18" hidden="true" outlineLevel="3">
      <c r="A924" s="2" t="s">
        <v>1708</v>
      </c>
      <c r="B924" s="3" t="s">
        <v>1709</v>
      </c>
      <c r="C924" s="2"/>
      <c r="D924" s="2" t="s">
        <v>16</v>
      </c>
      <c r="E924" s="4">
        <f>337.05*(1-Z1%)</f>
        <v>337.05</v>
      </c>
      <c r="F924" s="2">
        <v>2</v>
      </c>
      <c r="G924" s="2"/>
    </row>
    <row r="925" spans="1:26" customHeight="1" ht="18" hidden="true" outlineLevel="3">
      <c r="A925" s="2" t="s">
        <v>1710</v>
      </c>
      <c r="B925" s="3" t="s">
        <v>1711</v>
      </c>
      <c r="C925" s="2"/>
      <c r="D925" s="2" t="s">
        <v>16</v>
      </c>
      <c r="E925" s="4">
        <f>228.72*(1-Z1%)</f>
        <v>228.72</v>
      </c>
      <c r="F925" s="2">
        <v>23</v>
      </c>
      <c r="G925" s="2"/>
    </row>
    <row r="926" spans="1:26" customHeight="1" ht="18" hidden="true" outlineLevel="3">
      <c r="A926" s="2" t="s">
        <v>1712</v>
      </c>
      <c r="B926" s="3" t="s">
        <v>1713</v>
      </c>
      <c r="C926" s="2"/>
      <c r="D926" s="2" t="s">
        <v>16</v>
      </c>
      <c r="E926" s="4">
        <f>286.50*(1-Z1%)</f>
        <v>286.5</v>
      </c>
      <c r="F926" s="2">
        <v>4</v>
      </c>
      <c r="G926" s="2"/>
    </row>
    <row r="927" spans="1:26" customHeight="1" ht="18" hidden="true" outlineLevel="3">
      <c r="A927" s="2" t="s">
        <v>1714</v>
      </c>
      <c r="B927" s="3" t="s">
        <v>1715</v>
      </c>
      <c r="C927" s="2"/>
      <c r="D927" s="2" t="s">
        <v>16</v>
      </c>
      <c r="E927" s="4">
        <f>349.09*(1-Z1%)</f>
        <v>349.09</v>
      </c>
      <c r="F927" s="2">
        <v>3</v>
      </c>
      <c r="G927" s="2"/>
    </row>
    <row r="928" spans="1:26" customHeight="1" ht="18" hidden="true" outlineLevel="3">
      <c r="A928" s="2" t="s">
        <v>1716</v>
      </c>
      <c r="B928" s="3" t="s">
        <v>1717</v>
      </c>
      <c r="C928" s="2"/>
      <c r="D928" s="2" t="s">
        <v>16</v>
      </c>
      <c r="E928" s="4">
        <f>282.88*(1-Z1%)</f>
        <v>282.88</v>
      </c>
      <c r="F928" s="2">
        <v>1</v>
      </c>
      <c r="G928" s="2"/>
    </row>
    <row r="929" spans="1:26" customHeight="1" ht="18" hidden="true" outlineLevel="3">
      <c r="A929" s="2" t="s">
        <v>1718</v>
      </c>
      <c r="B929" s="3" t="s">
        <v>1719</v>
      </c>
      <c r="C929" s="2"/>
      <c r="D929" s="2" t="s">
        <v>16</v>
      </c>
      <c r="E929" s="4">
        <f>282.88*(1-Z1%)</f>
        <v>282.88</v>
      </c>
      <c r="F929" s="2">
        <v>1</v>
      </c>
      <c r="G929" s="2"/>
    </row>
    <row r="930" spans="1:26" customHeight="1" ht="18" hidden="true" outlineLevel="3">
      <c r="A930" s="2" t="s">
        <v>1720</v>
      </c>
      <c r="B930" s="3" t="s">
        <v>1721</v>
      </c>
      <c r="C930" s="2"/>
      <c r="D930" s="2" t="s">
        <v>16</v>
      </c>
      <c r="E930" s="4">
        <f>282.88*(1-Z1%)</f>
        <v>282.88</v>
      </c>
      <c r="F930" s="2">
        <v>1</v>
      </c>
      <c r="G930" s="2"/>
    </row>
    <row r="931" spans="1:26" customHeight="1" ht="18" hidden="true" outlineLevel="3">
      <c r="A931" s="2" t="s">
        <v>1722</v>
      </c>
      <c r="B931" s="3" t="s">
        <v>1723</v>
      </c>
      <c r="C931" s="2"/>
      <c r="D931" s="2" t="s">
        <v>16</v>
      </c>
      <c r="E931" s="4">
        <f>306.95*(1-Z1%)</f>
        <v>306.95</v>
      </c>
      <c r="F931" s="2">
        <v>1</v>
      </c>
      <c r="G931" s="2"/>
    </row>
    <row r="932" spans="1:26" customHeight="1" ht="18" hidden="true" outlineLevel="3">
      <c r="A932" s="2" t="s">
        <v>1724</v>
      </c>
      <c r="B932" s="3" t="s">
        <v>1725</v>
      </c>
      <c r="C932" s="2"/>
      <c r="D932" s="2" t="s">
        <v>16</v>
      </c>
      <c r="E932" s="4">
        <f>306.95*(1-Z1%)</f>
        <v>306.95</v>
      </c>
      <c r="F932" s="2">
        <v>8</v>
      </c>
      <c r="G932" s="2"/>
    </row>
    <row r="933" spans="1:26" customHeight="1" ht="36" hidden="true" outlineLevel="3">
      <c r="A933" s="2" t="s">
        <v>1726</v>
      </c>
      <c r="B933" s="3" t="s">
        <v>1727</v>
      </c>
      <c r="C933" s="2"/>
      <c r="D933" s="2" t="s">
        <v>16</v>
      </c>
      <c r="E933" s="4">
        <f>337.05*(1-Z1%)</f>
        <v>337.05</v>
      </c>
      <c r="F933" s="2">
        <v>3</v>
      </c>
      <c r="G933" s="2"/>
    </row>
    <row r="934" spans="1:26" customHeight="1" ht="36" hidden="true" outlineLevel="3">
      <c r="A934" s="2" t="s">
        <v>1728</v>
      </c>
      <c r="B934" s="3" t="s">
        <v>1729</v>
      </c>
      <c r="C934" s="2"/>
      <c r="D934" s="2" t="s">
        <v>16</v>
      </c>
      <c r="E934" s="4">
        <f>337.05*(1-Z1%)</f>
        <v>337.05</v>
      </c>
      <c r="F934" s="2">
        <v>3</v>
      </c>
      <c r="G934" s="2"/>
    </row>
    <row r="935" spans="1:26" customHeight="1" ht="36" hidden="true" outlineLevel="3">
      <c r="A935" s="2" t="s">
        <v>1730</v>
      </c>
      <c r="B935" s="3" t="s">
        <v>1731</v>
      </c>
      <c r="C935" s="2"/>
      <c r="D935" s="2" t="s">
        <v>16</v>
      </c>
      <c r="E935" s="4">
        <f>337.05*(1-Z1%)</f>
        <v>337.05</v>
      </c>
      <c r="F935" s="2">
        <v>3</v>
      </c>
      <c r="G935" s="2"/>
    </row>
    <row r="936" spans="1:26" customHeight="1" ht="36" hidden="true" outlineLevel="3">
      <c r="A936" s="2" t="s">
        <v>1732</v>
      </c>
      <c r="B936" s="3" t="s">
        <v>1733</v>
      </c>
      <c r="C936" s="2"/>
      <c r="D936" s="2" t="s">
        <v>16</v>
      </c>
      <c r="E936" s="4">
        <f>337.05*(1-Z1%)</f>
        <v>337.05</v>
      </c>
      <c r="F936" s="2">
        <v>3</v>
      </c>
      <c r="G936" s="2"/>
    </row>
    <row r="937" spans="1:26" customHeight="1" ht="36" hidden="true" outlineLevel="3">
      <c r="A937" s="2" t="s">
        <v>1734</v>
      </c>
      <c r="B937" s="3" t="s">
        <v>1735</v>
      </c>
      <c r="C937" s="2"/>
      <c r="D937" s="2" t="s">
        <v>16</v>
      </c>
      <c r="E937" s="4">
        <f>312.98*(1-Z1%)</f>
        <v>312.98</v>
      </c>
      <c r="F937" s="2">
        <v>4</v>
      </c>
      <c r="G937" s="2"/>
    </row>
    <row r="938" spans="1:26" customHeight="1" ht="36" hidden="true" outlineLevel="3">
      <c r="A938" s="2" t="s">
        <v>1736</v>
      </c>
      <c r="B938" s="3" t="s">
        <v>1737</v>
      </c>
      <c r="C938" s="2"/>
      <c r="D938" s="2" t="s">
        <v>16</v>
      </c>
      <c r="E938" s="4">
        <f>475.48*(1-Z1%)</f>
        <v>475.48</v>
      </c>
      <c r="F938" s="2">
        <v>2</v>
      </c>
      <c r="G938" s="2"/>
    </row>
    <row r="939" spans="1:26" customHeight="1" ht="36" hidden="true" outlineLevel="3">
      <c r="A939" s="2" t="s">
        <v>1738</v>
      </c>
      <c r="B939" s="3" t="s">
        <v>1739</v>
      </c>
      <c r="C939" s="2"/>
      <c r="D939" s="2" t="s">
        <v>16</v>
      </c>
      <c r="E939" s="4">
        <f>475.48*(1-Z1%)</f>
        <v>475.48</v>
      </c>
      <c r="F939" s="2">
        <v>3</v>
      </c>
      <c r="G939" s="2"/>
    </row>
    <row r="940" spans="1:26" customHeight="1" ht="18" hidden="true" outlineLevel="3">
      <c r="A940" s="2" t="s">
        <v>1740</v>
      </c>
      <c r="B940" s="3" t="s">
        <v>1741</v>
      </c>
      <c r="C940" s="2"/>
      <c r="D940" s="2" t="s">
        <v>16</v>
      </c>
      <c r="E940" s="4">
        <f>294.92*(1-Z1%)</f>
        <v>294.92</v>
      </c>
      <c r="F940" s="2">
        <v>8</v>
      </c>
      <c r="G940" s="2"/>
    </row>
    <row r="941" spans="1:26" customHeight="1" ht="18" hidden="true" outlineLevel="3">
      <c r="A941" s="2" t="s">
        <v>1742</v>
      </c>
      <c r="B941" s="3" t="s">
        <v>1743</v>
      </c>
      <c r="C941" s="2"/>
      <c r="D941" s="2" t="s">
        <v>16</v>
      </c>
      <c r="E941" s="4">
        <f>294.92*(1-Z1%)</f>
        <v>294.92</v>
      </c>
      <c r="F941" s="2">
        <v>6</v>
      </c>
      <c r="G941" s="2"/>
    </row>
    <row r="942" spans="1:26" customHeight="1" ht="18" hidden="true" outlineLevel="3">
      <c r="A942" s="2" t="s">
        <v>1744</v>
      </c>
      <c r="B942" s="3" t="s">
        <v>1745</v>
      </c>
      <c r="C942" s="2"/>
      <c r="D942" s="2" t="s">
        <v>16</v>
      </c>
      <c r="E942" s="4">
        <f>294.92*(1-Z1%)</f>
        <v>294.92</v>
      </c>
      <c r="F942" s="2">
        <v>11</v>
      </c>
      <c r="G942" s="2"/>
    </row>
    <row r="943" spans="1:26" customHeight="1" ht="36" hidden="true" outlineLevel="3">
      <c r="A943" s="2" t="s">
        <v>1746</v>
      </c>
      <c r="B943" s="3" t="s">
        <v>1747</v>
      </c>
      <c r="C943" s="2"/>
      <c r="D943" s="2" t="s">
        <v>16</v>
      </c>
      <c r="E943" s="4">
        <f>294.92*(1-Z1%)</f>
        <v>294.92</v>
      </c>
      <c r="F943" s="2">
        <v>10</v>
      </c>
      <c r="G943" s="2"/>
    </row>
    <row r="944" spans="1:26" customHeight="1" ht="36" hidden="true" outlineLevel="3">
      <c r="A944" s="2" t="s">
        <v>1748</v>
      </c>
      <c r="B944" s="3" t="s">
        <v>1749</v>
      </c>
      <c r="C944" s="2"/>
      <c r="D944" s="2" t="s">
        <v>16</v>
      </c>
      <c r="E944" s="4">
        <f>294.92*(1-Z1%)</f>
        <v>294.92</v>
      </c>
      <c r="F944" s="2">
        <v>12</v>
      </c>
      <c r="G944" s="2"/>
    </row>
    <row r="945" spans="1:26" customHeight="1" ht="18" hidden="true" outlineLevel="3">
      <c r="A945" s="2" t="s">
        <v>1750</v>
      </c>
      <c r="B945" s="3" t="s">
        <v>1751</v>
      </c>
      <c r="C945" s="2"/>
      <c r="D945" s="2" t="s">
        <v>16</v>
      </c>
      <c r="E945" s="4">
        <f>270.85*(1-Z1%)</f>
        <v>270.85</v>
      </c>
      <c r="F945" s="2">
        <v>9</v>
      </c>
      <c r="G945" s="2"/>
    </row>
    <row r="946" spans="1:26" customHeight="1" ht="18" hidden="true" outlineLevel="3">
      <c r="A946" s="2" t="s">
        <v>1752</v>
      </c>
      <c r="B946" s="3" t="s">
        <v>1753</v>
      </c>
      <c r="C946" s="2"/>
      <c r="D946" s="2" t="s">
        <v>16</v>
      </c>
      <c r="E946" s="4">
        <f>306.95*(1-Z1%)</f>
        <v>306.95</v>
      </c>
      <c r="F946" s="2">
        <v>2</v>
      </c>
      <c r="G946" s="2"/>
    </row>
    <row r="947" spans="1:26" customHeight="1" ht="18" hidden="true" outlineLevel="3">
      <c r="A947" s="2" t="s">
        <v>1754</v>
      </c>
      <c r="B947" s="3" t="s">
        <v>1755</v>
      </c>
      <c r="C947" s="2"/>
      <c r="D947" s="2" t="s">
        <v>16</v>
      </c>
      <c r="E947" s="4">
        <f>306.95*(1-Z1%)</f>
        <v>306.95</v>
      </c>
      <c r="F947" s="2">
        <v>3</v>
      </c>
      <c r="G947" s="2"/>
    </row>
    <row r="948" spans="1:26" customHeight="1" ht="18" hidden="true" outlineLevel="3">
      <c r="A948" s="2" t="s">
        <v>1756</v>
      </c>
      <c r="B948" s="3" t="s">
        <v>1757</v>
      </c>
      <c r="C948" s="2"/>
      <c r="D948" s="2" t="s">
        <v>16</v>
      </c>
      <c r="E948" s="4">
        <f>306.95*(1-Z1%)</f>
        <v>306.95</v>
      </c>
      <c r="F948" s="2">
        <v>6</v>
      </c>
      <c r="G948" s="2"/>
    </row>
    <row r="949" spans="1:26" customHeight="1" ht="18" hidden="true" outlineLevel="3">
      <c r="A949" s="2" t="s">
        <v>1758</v>
      </c>
      <c r="B949" s="3" t="s">
        <v>1759</v>
      </c>
      <c r="C949" s="2"/>
      <c r="D949" s="2" t="s">
        <v>16</v>
      </c>
      <c r="E949" s="4">
        <f>252.79*(1-Z1%)</f>
        <v>252.79</v>
      </c>
      <c r="F949" s="2">
        <v>10</v>
      </c>
      <c r="G949" s="2"/>
    </row>
    <row r="950" spans="1:26" customHeight="1" ht="18" hidden="true" outlineLevel="3">
      <c r="A950" s="2" t="s">
        <v>1760</v>
      </c>
      <c r="B950" s="3" t="s">
        <v>1761</v>
      </c>
      <c r="C950" s="2"/>
      <c r="D950" s="2" t="s">
        <v>16</v>
      </c>
      <c r="E950" s="4">
        <f>306.95*(1-Z1%)</f>
        <v>306.95</v>
      </c>
      <c r="F950" s="2">
        <v>5</v>
      </c>
      <c r="G950" s="2"/>
    </row>
    <row r="951" spans="1:26" customHeight="1" ht="35" hidden="true" outlineLevel="3">
      <c r="A951" s="5" t="s">
        <v>1762</v>
      </c>
      <c r="B951" s="5"/>
      <c r="C951" s="5"/>
      <c r="D951" s="5"/>
      <c r="E951" s="5"/>
      <c r="F951" s="5"/>
      <c r="G951" s="5"/>
    </row>
    <row r="952" spans="1:26" customHeight="1" ht="36" hidden="true" outlineLevel="3">
      <c r="A952" s="2" t="s">
        <v>1763</v>
      </c>
      <c r="B952" s="3" t="s">
        <v>1764</v>
      </c>
      <c r="C952" s="2"/>
      <c r="D952" s="2" t="s">
        <v>16</v>
      </c>
      <c r="E952" s="4">
        <f>738.95*(1-Z1%)</f>
        <v>738.95</v>
      </c>
      <c r="F952" s="2">
        <v>1</v>
      </c>
      <c r="G952" s="2"/>
    </row>
    <row r="953" spans="1:26" customHeight="1" ht="36" hidden="true" outlineLevel="3">
      <c r="A953" s="2" t="s">
        <v>1765</v>
      </c>
      <c r="B953" s="3" t="s">
        <v>1766</v>
      </c>
      <c r="C953" s="2"/>
      <c r="D953" s="2" t="s">
        <v>16</v>
      </c>
      <c r="E953" s="4">
        <f>590.57*(1-Z1%)</f>
        <v>590.57</v>
      </c>
      <c r="F953" s="2">
        <v>3</v>
      </c>
      <c r="G953" s="2"/>
    </row>
    <row r="954" spans="1:26" customHeight="1" ht="18" hidden="true" outlineLevel="3">
      <c r="A954" s="2" t="s">
        <v>1767</v>
      </c>
      <c r="B954" s="3" t="s">
        <v>1768</v>
      </c>
      <c r="C954" s="2"/>
      <c r="D954" s="2" t="s">
        <v>16</v>
      </c>
      <c r="E954" s="4">
        <f>590.57*(1-Z1%)</f>
        <v>590.57</v>
      </c>
      <c r="F954" s="2">
        <v>3</v>
      </c>
      <c r="G954" s="2"/>
    </row>
    <row r="955" spans="1:26" customHeight="1" ht="36" hidden="true" outlineLevel="3">
      <c r="A955" s="2" t="s">
        <v>1769</v>
      </c>
      <c r="B955" s="3" t="s">
        <v>1770</v>
      </c>
      <c r="C955" s="2"/>
      <c r="D955" s="2" t="s">
        <v>16</v>
      </c>
      <c r="E955" s="4">
        <f>477.50*(1-Z1%)</f>
        <v>477.5</v>
      </c>
      <c r="F955" s="2">
        <v>1</v>
      </c>
      <c r="G955" s="2"/>
    </row>
    <row r="956" spans="1:26" customHeight="1" ht="36" hidden="true" outlineLevel="3">
      <c r="A956" s="2" t="s">
        <v>1771</v>
      </c>
      <c r="B956" s="3" t="s">
        <v>1772</v>
      </c>
      <c r="C956" s="2"/>
      <c r="D956" s="2" t="s">
        <v>16</v>
      </c>
      <c r="E956" s="4">
        <f>300.94*(1-Z1%)</f>
        <v>300.94</v>
      </c>
      <c r="F956" s="2">
        <v>3</v>
      </c>
      <c r="G956" s="2"/>
    </row>
    <row r="957" spans="1:26" customHeight="1" ht="36" hidden="true" outlineLevel="3">
      <c r="A957" s="2" t="s">
        <v>1773</v>
      </c>
      <c r="B957" s="3" t="s">
        <v>1774</v>
      </c>
      <c r="C957" s="2"/>
      <c r="D957" s="2" t="s">
        <v>16</v>
      </c>
      <c r="E957" s="4">
        <f>571.78*(1-Z1%)</f>
        <v>571.78</v>
      </c>
      <c r="F957" s="2">
        <v>2</v>
      </c>
      <c r="G957" s="2"/>
    </row>
    <row r="958" spans="1:26" customHeight="1" ht="36" hidden="true" outlineLevel="3">
      <c r="A958" s="2" t="s">
        <v>1775</v>
      </c>
      <c r="B958" s="3" t="s">
        <v>1776</v>
      </c>
      <c r="C958" s="2"/>
      <c r="D958" s="2" t="s">
        <v>16</v>
      </c>
      <c r="E958" s="4">
        <f>210.65*(1-Z1%)</f>
        <v>210.65</v>
      </c>
      <c r="F958" s="2">
        <v>2</v>
      </c>
      <c r="G958" s="2"/>
    </row>
    <row r="959" spans="1:26" customHeight="1" ht="36" hidden="true" outlineLevel="3">
      <c r="A959" s="2" t="s">
        <v>1777</v>
      </c>
      <c r="B959" s="3" t="s">
        <v>1778</v>
      </c>
      <c r="C959" s="2"/>
      <c r="D959" s="2" t="s">
        <v>16</v>
      </c>
      <c r="E959" s="4">
        <f>523.63*(1-Z1%)</f>
        <v>523.63</v>
      </c>
      <c r="F959" s="2">
        <v>1</v>
      </c>
      <c r="G959" s="2"/>
    </row>
    <row r="960" spans="1:26" customHeight="1" ht="36" hidden="true" outlineLevel="3">
      <c r="A960" s="2" t="s">
        <v>1779</v>
      </c>
      <c r="B960" s="3" t="s">
        <v>1780</v>
      </c>
      <c r="C960" s="2"/>
      <c r="D960" s="2" t="s">
        <v>16</v>
      </c>
      <c r="E960" s="4">
        <f>445.39*(1-Z1%)</f>
        <v>445.39</v>
      </c>
      <c r="F960" s="2">
        <v>3</v>
      </c>
      <c r="G960" s="2"/>
    </row>
    <row r="961" spans="1:26" customHeight="1" ht="35" hidden="true" outlineLevel="3">
      <c r="A961" s="5" t="s">
        <v>1781</v>
      </c>
      <c r="B961" s="5"/>
      <c r="C961" s="5"/>
      <c r="D961" s="5"/>
      <c r="E961" s="5"/>
      <c r="F961" s="5"/>
      <c r="G961" s="5"/>
    </row>
    <row r="962" spans="1:26" customHeight="1" ht="18" hidden="true" outlineLevel="3">
      <c r="A962" s="2" t="s">
        <v>1782</v>
      </c>
      <c r="B962" s="3" t="s">
        <v>1783</v>
      </c>
      <c r="C962" s="2"/>
      <c r="D962" s="2" t="s">
        <v>16</v>
      </c>
      <c r="E962" s="4">
        <f>186.58*(1-Z1%)</f>
        <v>186.58</v>
      </c>
      <c r="F962" s="2">
        <v>2</v>
      </c>
      <c r="G962" s="2"/>
    </row>
    <row r="963" spans="1:26" customHeight="1" ht="36" hidden="true" outlineLevel="3">
      <c r="A963" s="2" t="s">
        <v>1784</v>
      </c>
      <c r="B963" s="3" t="s">
        <v>1785</v>
      </c>
      <c r="C963" s="2"/>
      <c r="D963" s="2" t="s">
        <v>16</v>
      </c>
      <c r="E963" s="4">
        <f>216.68*(1-Z1%)</f>
        <v>216.68</v>
      </c>
      <c r="F963" s="2">
        <v>1</v>
      </c>
      <c r="G963" s="2"/>
    </row>
    <row r="964" spans="1:26" customHeight="1" ht="36" hidden="true" outlineLevel="3">
      <c r="A964" s="2" t="s">
        <v>1786</v>
      </c>
      <c r="B964" s="3" t="s">
        <v>1787</v>
      </c>
      <c r="C964" s="2"/>
      <c r="D964" s="2" t="s">
        <v>16</v>
      </c>
      <c r="E964" s="4">
        <f>132.42*(1-Z1%)</f>
        <v>132.42</v>
      </c>
      <c r="F964" s="2">
        <v>1</v>
      </c>
      <c r="G964" s="2"/>
    </row>
    <row r="965" spans="1:26" customHeight="1" ht="36" hidden="true" outlineLevel="3">
      <c r="A965" s="2" t="s">
        <v>1788</v>
      </c>
      <c r="B965" s="3" t="s">
        <v>1789</v>
      </c>
      <c r="C965" s="2"/>
      <c r="D965" s="2" t="s">
        <v>16</v>
      </c>
      <c r="E965" s="4">
        <f>192.60*(1-Z1%)</f>
        <v>192.6</v>
      </c>
      <c r="F965" s="2">
        <v>1</v>
      </c>
      <c r="G965" s="2"/>
    </row>
    <row r="966" spans="1:26" customHeight="1" ht="36" hidden="true" outlineLevel="3">
      <c r="A966" s="2" t="s">
        <v>1790</v>
      </c>
      <c r="B966" s="3" t="s">
        <v>1791</v>
      </c>
      <c r="C966" s="2"/>
      <c r="D966" s="2" t="s">
        <v>16</v>
      </c>
      <c r="E966" s="4">
        <f>192.60*(1-Z1%)</f>
        <v>192.6</v>
      </c>
      <c r="F966" s="2">
        <v>2</v>
      </c>
      <c r="G966" s="2"/>
    </row>
    <row r="967" spans="1:26" customHeight="1" ht="36" hidden="true" outlineLevel="3">
      <c r="A967" s="2" t="s">
        <v>1792</v>
      </c>
      <c r="B967" s="3" t="s">
        <v>1793</v>
      </c>
      <c r="C967" s="2"/>
      <c r="D967" s="2" t="s">
        <v>16</v>
      </c>
      <c r="E967" s="4">
        <f>192.60*(1-Z1%)</f>
        <v>192.6</v>
      </c>
      <c r="F967" s="2">
        <v>1</v>
      </c>
      <c r="G967" s="2"/>
    </row>
    <row r="968" spans="1:26" customHeight="1" ht="36" hidden="true" outlineLevel="3">
      <c r="A968" s="2" t="s">
        <v>1794</v>
      </c>
      <c r="B968" s="3" t="s">
        <v>1795</v>
      </c>
      <c r="C968" s="2"/>
      <c r="D968" s="2" t="s">
        <v>16</v>
      </c>
      <c r="E968" s="4">
        <f>190.20*(1-Z1%)</f>
        <v>190.2</v>
      </c>
      <c r="F968" s="2">
        <v>3</v>
      </c>
      <c r="G968" s="2"/>
    </row>
    <row r="969" spans="1:26" customHeight="1" ht="36" hidden="true" outlineLevel="3">
      <c r="A969" s="2" t="s">
        <v>1796</v>
      </c>
      <c r="B969" s="3" t="s">
        <v>1797</v>
      </c>
      <c r="C969" s="2"/>
      <c r="D969" s="2" t="s">
        <v>16</v>
      </c>
      <c r="E969" s="4">
        <f>228.72*(1-Z1%)</f>
        <v>228.72</v>
      </c>
      <c r="F969" s="2">
        <v>2</v>
      </c>
      <c r="G969" s="2"/>
    </row>
    <row r="970" spans="1:26" customHeight="1" ht="36" hidden="true" outlineLevel="3">
      <c r="A970" s="2" t="s">
        <v>1798</v>
      </c>
      <c r="B970" s="3" t="s">
        <v>1799</v>
      </c>
      <c r="C970" s="2"/>
      <c r="D970" s="2" t="s">
        <v>16</v>
      </c>
      <c r="E970" s="4">
        <f>210.65*(1-Z1%)</f>
        <v>210.65</v>
      </c>
      <c r="F970" s="2">
        <v>1</v>
      </c>
      <c r="G970" s="2"/>
    </row>
    <row r="971" spans="1:26" customHeight="1" ht="36" hidden="true" outlineLevel="3">
      <c r="A971" s="2" t="s">
        <v>1800</v>
      </c>
      <c r="B971" s="3" t="s">
        <v>1801</v>
      </c>
      <c r="C971" s="2"/>
      <c r="D971" s="2" t="s">
        <v>16</v>
      </c>
      <c r="E971" s="4">
        <f>210.65*(1-Z1%)</f>
        <v>210.65</v>
      </c>
      <c r="F971" s="2">
        <v>1</v>
      </c>
      <c r="G971" s="2"/>
    </row>
    <row r="972" spans="1:26" customHeight="1" ht="35" hidden="true" outlineLevel="3">
      <c r="A972" s="5" t="s">
        <v>1802</v>
      </c>
      <c r="B972" s="5"/>
      <c r="C972" s="5"/>
      <c r="D972" s="5"/>
      <c r="E972" s="5"/>
      <c r="F972" s="5"/>
      <c r="G972" s="5"/>
    </row>
    <row r="973" spans="1:26" customHeight="1" ht="18" hidden="true" outlineLevel="3">
      <c r="A973" s="2" t="s">
        <v>1803</v>
      </c>
      <c r="B973" s="3" t="s">
        <v>1804</v>
      </c>
      <c r="C973" s="2"/>
      <c r="D973" s="2" t="s">
        <v>16</v>
      </c>
      <c r="E973" s="4">
        <f>33.10*(1-Z1%)</f>
        <v>33.1</v>
      </c>
      <c r="F973" s="2">
        <v>3</v>
      </c>
      <c r="G973" s="2"/>
    </row>
    <row r="974" spans="1:26" customHeight="1" ht="18" hidden="true" outlineLevel="3">
      <c r="A974" s="2" t="s">
        <v>1805</v>
      </c>
      <c r="B974" s="3" t="s">
        <v>1806</v>
      </c>
      <c r="C974" s="2"/>
      <c r="D974" s="2" t="s">
        <v>16</v>
      </c>
      <c r="E974" s="4">
        <f>33.84*(1-Z1%)</f>
        <v>33.84</v>
      </c>
      <c r="F974" s="2">
        <v>1</v>
      </c>
      <c r="G974" s="2"/>
    </row>
    <row r="975" spans="1:26" customHeight="1" ht="18" hidden="true" outlineLevel="3">
      <c r="A975" s="2" t="s">
        <v>1807</v>
      </c>
      <c r="B975" s="3" t="s">
        <v>1808</v>
      </c>
      <c r="C975" s="2"/>
      <c r="D975" s="2" t="s">
        <v>16</v>
      </c>
      <c r="E975" s="4">
        <f>112.43*(1-Z1%)</f>
        <v>112.43</v>
      </c>
      <c r="F975" s="2">
        <v>1</v>
      </c>
      <c r="G975" s="2"/>
    </row>
    <row r="976" spans="1:26" customHeight="1" ht="18" hidden="true" outlineLevel="3">
      <c r="A976" s="2" t="s">
        <v>1809</v>
      </c>
      <c r="B976" s="3" t="s">
        <v>1810</v>
      </c>
      <c r="C976" s="2"/>
      <c r="D976" s="2" t="s">
        <v>16</v>
      </c>
      <c r="E976" s="4">
        <f>112.43*(1-Z1%)</f>
        <v>112.43</v>
      </c>
      <c r="F976" s="2">
        <v>3</v>
      </c>
      <c r="G976" s="2"/>
    </row>
    <row r="977" spans="1:26" customHeight="1" ht="18" hidden="true" outlineLevel="3">
      <c r="A977" s="2" t="s">
        <v>1811</v>
      </c>
      <c r="B977" s="3" t="s">
        <v>1812</v>
      </c>
      <c r="C977" s="2"/>
      <c r="D977" s="2" t="s">
        <v>16</v>
      </c>
      <c r="E977" s="4">
        <f>88.79*(1-Z1%)</f>
        <v>88.79</v>
      </c>
      <c r="F977" s="2">
        <v>1</v>
      </c>
      <c r="G977" s="2"/>
    </row>
    <row r="978" spans="1:26" customHeight="1" ht="18" hidden="true" outlineLevel="3">
      <c r="A978" s="2" t="s">
        <v>1813</v>
      </c>
      <c r="B978" s="3" t="s">
        <v>1814</v>
      </c>
      <c r="C978" s="2"/>
      <c r="D978" s="2" t="s">
        <v>16</v>
      </c>
      <c r="E978" s="4">
        <f>111.33*(1-Z1%)</f>
        <v>111.33</v>
      </c>
      <c r="F978" s="2">
        <v>4</v>
      </c>
      <c r="G978" s="2"/>
    </row>
    <row r="979" spans="1:26" customHeight="1" ht="18" hidden="true" outlineLevel="3">
      <c r="A979" s="2" t="s">
        <v>1815</v>
      </c>
      <c r="B979" s="3" t="s">
        <v>1816</v>
      </c>
      <c r="C979" s="2"/>
      <c r="D979" s="2" t="s">
        <v>16</v>
      </c>
      <c r="E979" s="4">
        <f>66.22*(1-Z1%)</f>
        <v>66.22</v>
      </c>
      <c r="F979" s="2">
        <v>2</v>
      </c>
      <c r="G979" s="2"/>
    </row>
    <row r="980" spans="1:26" customHeight="1" ht="18" hidden="true" outlineLevel="3">
      <c r="A980" s="2" t="s">
        <v>1817</v>
      </c>
      <c r="B980" s="3" t="s">
        <v>1818</v>
      </c>
      <c r="C980" s="2"/>
      <c r="D980" s="2" t="s">
        <v>16</v>
      </c>
      <c r="E980" s="4">
        <f>51.87*(1-Z1%)</f>
        <v>51.87</v>
      </c>
      <c r="F980" s="2">
        <v>4</v>
      </c>
      <c r="G980" s="2"/>
    </row>
    <row r="981" spans="1:26" customHeight="1" ht="18" hidden="true" outlineLevel="3">
      <c r="A981" s="2" t="s">
        <v>1819</v>
      </c>
      <c r="B981" s="3" t="s">
        <v>1820</v>
      </c>
      <c r="C981" s="2"/>
      <c r="D981" s="2" t="s">
        <v>16</v>
      </c>
      <c r="E981" s="4">
        <f>51.87*(1-Z1%)</f>
        <v>51.87</v>
      </c>
      <c r="F981" s="2">
        <v>2</v>
      </c>
      <c r="G981" s="2"/>
    </row>
    <row r="982" spans="1:26" customHeight="1" ht="18" hidden="true" outlineLevel="3">
      <c r="A982" s="2" t="s">
        <v>1821</v>
      </c>
      <c r="B982" s="3" t="s">
        <v>1822</v>
      </c>
      <c r="C982" s="2"/>
      <c r="D982" s="2" t="s">
        <v>16</v>
      </c>
      <c r="E982" s="4">
        <f>64.94*(1-Z1%)</f>
        <v>64.94</v>
      </c>
      <c r="F982" s="2">
        <v>2</v>
      </c>
      <c r="G982" s="2"/>
    </row>
    <row r="983" spans="1:26" customHeight="1" ht="18" hidden="true" outlineLevel="3">
      <c r="A983" s="2" t="s">
        <v>1823</v>
      </c>
      <c r="B983" s="3" t="s">
        <v>1824</v>
      </c>
      <c r="C983" s="2"/>
      <c r="D983" s="2" t="s">
        <v>16</v>
      </c>
      <c r="E983" s="4">
        <f>66.22*(1-Z1%)</f>
        <v>66.22</v>
      </c>
      <c r="F983" s="2">
        <v>3</v>
      </c>
      <c r="G983" s="2"/>
    </row>
    <row r="984" spans="1:26" customHeight="1" ht="18" hidden="true" outlineLevel="3">
      <c r="A984" s="2" t="s">
        <v>1825</v>
      </c>
      <c r="B984" s="3" t="s">
        <v>1826</v>
      </c>
      <c r="C984" s="2"/>
      <c r="D984" s="2" t="s">
        <v>16</v>
      </c>
      <c r="E984" s="4">
        <f>66.22*(1-Z1%)</f>
        <v>66.22</v>
      </c>
      <c r="F984" s="2">
        <v>1</v>
      </c>
      <c r="G984" s="2"/>
    </row>
    <row r="985" spans="1:26" customHeight="1" ht="18" hidden="true" outlineLevel="3">
      <c r="A985" s="2" t="s">
        <v>1827</v>
      </c>
      <c r="B985" s="3" t="s">
        <v>1828</v>
      </c>
      <c r="C985" s="2"/>
      <c r="D985" s="2" t="s">
        <v>16</v>
      </c>
      <c r="E985" s="4">
        <f>52.80*(1-Z1%)</f>
        <v>52.8</v>
      </c>
      <c r="F985" s="2">
        <v>3</v>
      </c>
      <c r="G985" s="2"/>
    </row>
    <row r="986" spans="1:26" customHeight="1" ht="18" hidden="true" outlineLevel="3">
      <c r="A986" s="2" t="s">
        <v>1829</v>
      </c>
      <c r="B986" s="3" t="s">
        <v>1830</v>
      </c>
      <c r="C986" s="2"/>
      <c r="D986" s="2" t="s">
        <v>16</v>
      </c>
      <c r="E986" s="4">
        <f>52.80*(1-Z1%)</f>
        <v>52.8</v>
      </c>
      <c r="F986" s="2">
        <v>2</v>
      </c>
      <c r="G986" s="2"/>
    </row>
    <row r="987" spans="1:26" customHeight="1" ht="18" hidden="true" outlineLevel="3">
      <c r="A987" s="2" t="s">
        <v>1831</v>
      </c>
      <c r="B987" s="3" t="s">
        <v>1832</v>
      </c>
      <c r="C987" s="2"/>
      <c r="D987" s="2" t="s">
        <v>16</v>
      </c>
      <c r="E987" s="4">
        <f>62.21*(1-Z1%)</f>
        <v>62.21</v>
      </c>
      <c r="F987" s="2">
        <v>1</v>
      </c>
      <c r="G987" s="2"/>
    </row>
    <row r="988" spans="1:26" customHeight="1" ht="18" hidden="true" outlineLevel="3">
      <c r="A988" s="2" t="s">
        <v>1833</v>
      </c>
      <c r="B988" s="3" t="s">
        <v>1834</v>
      </c>
      <c r="C988" s="2"/>
      <c r="D988" s="2" t="s">
        <v>16</v>
      </c>
      <c r="E988" s="4">
        <f>52.80*(1-Z1%)</f>
        <v>52.8</v>
      </c>
      <c r="F988" s="2">
        <v>3</v>
      </c>
      <c r="G988" s="2"/>
    </row>
    <row r="989" spans="1:26" customHeight="1" ht="18" hidden="true" outlineLevel="3">
      <c r="A989" s="2" t="s">
        <v>1835</v>
      </c>
      <c r="B989" s="3" t="s">
        <v>1836</v>
      </c>
      <c r="C989" s="2"/>
      <c r="D989" s="2" t="s">
        <v>16</v>
      </c>
      <c r="E989" s="4">
        <f>190.77*(1-Z1%)</f>
        <v>190.77</v>
      </c>
      <c r="F989" s="2">
        <v>2</v>
      </c>
      <c r="G989" s="2"/>
    </row>
    <row r="990" spans="1:26" customHeight="1" ht="18" hidden="true" outlineLevel="3">
      <c r="A990" s="2" t="s">
        <v>1837</v>
      </c>
      <c r="B990" s="3" t="s">
        <v>1838</v>
      </c>
      <c r="C990" s="2"/>
      <c r="D990" s="2" t="s">
        <v>16</v>
      </c>
      <c r="E990" s="4">
        <f>208.66*(1-Z1%)</f>
        <v>208.66</v>
      </c>
      <c r="F990" s="2">
        <v>3</v>
      </c>
      <c r="G990" s="2"/>
    </row>
    <row r="991" spans="1:26" customHeight="1" ht="35" hidden="true" outlineLevel="3">
      <c r="A991" s="5" t="s">
        <v>1839</v>
      </c>
      <c r="B991" s="5"/>
      <c r="C991" s="5"/>
      <c r="D991" s="5"/>
      <c r="E991" s="5"/>
      <c r="F991" s="5"/>
      <c r="G991" s="5"/>
    </row>
    <row r="992" spans="1:26" customHeight="1" ht="18" hidden="true" outlineLevel="3">
      <c r="A992" s="2" t="s">
        <v>1840</v>
      </c>
      <c r="B992" s="3" t="s">
        <v>1841</v>
      </c>
      <c r="C992" s="2"/>
      <c r="D992" s="2" t="s">
        <v>16</v>
      </c>
      <c r="E992" s="4">
        <f>250.78*(1-Z1%)</f>
        <v>250.78</v>
      </c>
      <c r="F992" s="2">
        <v>10</v>
      </c>
      <c r="G992" s="2"/>
    </row>
    <row r="993" spans="1:26" customHeight="1" ht="18" hidden="true" outlineLevel="3">
      <c r="A993" s="2" t="s">
        <v>1842</v>
      </c>
      <c r="B993" s="3" t="s">
        <v>1843</v>
      </c>
      <c r="C993" s="2"/>
      <c r="D993" s="2" t="s">
        <v>16</v>
      </c>
      <c r="E993" s="4">
        <f>248.73*(1-Z1%)</f>
        <v>248.73</v>
      </c>
      <c r="F993" s="2">
        <v>5</v>
      </c>
      <c r="G993" s="2"/>
    </row>
    <row r="994" spans="1:26" customHeight="1" ht="18" hidden="true" outlineLevel="3">
      <c r="A994" s="2" t="s">
        <v>1844</v>
      </c>
      <c r="B994" s="3" t="s">
        <v>1845</v>
      </c>
      <c r="C994" s="2"/>
      <c r="D994" s="2" t="s">
        <v>16</v>
      </c>
      <c r="E994" s="4">
        <f>146.52*(1-Z1%)</f>
        <v>146.52</v>
      </c>
      <c r="F994" s="2">
        <v>5</v>
      </c>
      <c r="G994" s="2"/>
    </row>
    <row r="995" spans="1:26" customHeight="1" ht="36" hidden="true" outlineLevel="3">
      <c r="A995" s="2" t="s">
        <v>1846</v>
      </c>
      <c r="B995" s="3" t="s">
        <v>1847</v>
      </c>
      <c r="C995" s="2"/>
      <c r="D995" s="2" t="s">
        <v>16</v>
      </c>
      <c r="E995" s="4">
        <f>128.52*(1-Z1%)</f>
        <v>128.52</v>
      </c>
      <c r="F995" s="2">
        <v>1</v>
      </c>
      <c r="G995" s="2"/>
    </row>
    <row r="996" spans="1:26" customHeight="1" ht="18" hidden="true" outlineLevel="3">
      <c r="A996" s="2" t="s">
        <v>1848</v>
      </c>
      <c r="B996" s="3" t="s">
        <v>1849</v>
      </c>
      <c r="C996" s="2"/>
      <c r="D996" s="2" t="s">
        <v>16</v>
      </c>
      <c r="E996" s="4">
        <f>114.00*(1-Z1%)</f>
        <v>114</v>
      </c>
      <c r="F996" s="2">
        <v>4</v>
      </c>
      <c r="G996" s="2"/>
    </row>
    <row r="997" spans="1:26" customHeight="1" ht="18" hidden="true" outlineLevel="3">
      <c r="A997" s="2" t="s">
        <v>1850</v>
      </c>
      <c r="B997" s="3" t="s">
        <v>1851</v>
      </c>
      <c r="C997" s="2"/>
      <c r="D997" s="2" t="s">
        <v>16</v>
      </c>
      <c r="E997" s="4">
        <f>154.96*(1-Z1%)</f>
        <v>154.96</v>
      </c>
      <c r="F997" s="2">
        <v>3</v>
      </c>
      <c r="G997" s="2"/>
    </row>
    <row r="998" spans="1:26" customHeight="1" ht="36" hidden="true" outlineLevel="3">
      <c r="A998" s="2" t="s">
        <v>1852</v>
      </c>
      <c r="B998" s="3" t="s">
        <v>1853</v>
      </c>
      <c r="C998" s="2"/>
      <c r="D998" s="2" t="s">
        <v>16</v>
      </c>
      <c r="E998" s="4">
        <f>146.57*(1-Z1%)</f>
        <v>146.57</v>
      </c>
      <c r="F998" s="2">
        <v>13</v>
      </c>
      <c r="G998" s="2"/>
    </row>
    <row r="999" spans="1:26" customHeight="1" ht="18" hidden="true" outlineLevel="3">
      <c r="A999" s="2" t="s">
        <v>1854</v>
      </c>
      <c r="B999" s="3" t="s">
        <v>1855</v>
      </c>
      <c r="C999" s="2"/>
      <c r="D999" s="2" t="s">
        <v>16</v>
      </c>
      <c r="E999" s="4">
        <f>141.62*(1-Z1%)</f>
        <v>141.62</v>
      </c>
      <c r="F999" s="2">
        <v>2</v>
      </c>
      <c r="G999" s="2"/>
    </row>
    <row r="1000" spans="1:26" customHeight="1" ht="18" hidden="true" outlineLevel="3">
      <c r="A1000" s="2" t="s">
        <v>1856</v>
      </c>
      <c r="B1000" s="3" t="s">
        <v>1857</v>
      </c>
      <c r="C1000" s="2"/>
      <c r="D1000" s="2" t="s">
        <v>16</v>
      </c>
      <c r="E1000" s="4">
        <f>147.68*(1-Z1%)</f>
        <v>147.68</v>
      </c>
      <c r="F1000" s="2">
        <v>1</v>
      </c>
      <c r="G1000" s="2"/>
    </row>
    <row r="1001" spans="1:26" customHeight="1" ht="18" hidden="true" outlineLevel="3">
      <c r="A1001" s="2" t="s">
        <v>1858</v>
      </c>
      <c r="B1001" s="3" t="s">
        <v>1859</v>
      </c>
      <c r="C1001" s="2"/>
      <c r="D1001" s="2" t="s">
        <v>16</v>
      </c>
      <c r="E1001" s="4">
        <f>205.71*(1-Z1%)</f>
        <v>205.71</v>
      </c>
      <c r="F1001" s="2">
        <v>7</v>
      </c>
      <c r="G1001" s="2"/>
    </row>
    <row r="1002" spans="1:26" customHeight="1" ht="18" hidden="true" outlineLevel="3">
      <c r="A1002" s="2" t="s">
        <v>1860</v>
      </c>
      <c r="B1002" s="3" t="s">
        <v>1861</v>
      </c>
      <c r="C1002" s="2"/>
      <c r="D1002" s="2" t="s">
        <v>16</v>
      </c>
      <c r="E1002" s="4">
        <f>194.14*(1-Z1%)</f>
        <v>194.14</v>
      </c>
      <c r="F1002" s="2">
        <v>6</v>
      </c>
      <c r="G1002" s="2"/>
    </row>
    <row r="1003" spans="1:26" customHeight="1" ht="36" hidden="true" outlineLevel="3">
      <c r="A1003" s="2" t="s">
        <v>1862</v>
      </c>
      <c r="B1003" s="3" t="s">
        <v>1863</v>
      </c>
      <c r="C1003" s="2"/>
      <c r="D1003" s="2" t="s">
        <v>16</v>
      </c>
      <c r="E1003" s="4">
        <f>155.79*(1-Z1%)</f>
        <v>155.79</v>
      </c>
      <c r="F1003" s="2">
        <v>6</v>
      </c>
      <c r="G1003" s="2"/>
    </row>
    <row r="1004" spans="1:26" customHeight="1" ht="36" hidden="true" outlineLevel="3">
      <c r="A1004" s="2" t="s">
        <v>1864</v>
      </c>
      <c r="B1004" s="3" t="s">
        <v>1865</v>
      </c>
      <c r="C1004" s="2"/>
      <c r="D1004" s="2" t="s">
        <v>16</v>
      </c>
      <c r="E1004" s="4">
        <f>202.54*(1-Z1%)</f>
        <v>202.54</v>
      </c>
      <c r="F1004" s="2">
        <v>1</v>
      </c>
      <c r="G1004" s="2"/>
    </row>
    <row r="1005" spans="1:26" customHeight="1" ht="18" hidden="true" outlineLevel="3">
      <c r="A1005" s="2" t="s">
        <v>1866</v>
      </c>
      <c r="B1005" s="3" t="s">
        <v>1867</v>
      </c>
      <c r="C1005" s="2"/>
      <c r="D1005" s="2" t="s">
        <v>16</v>
      </c>
      <c r="E1005" s="4">
        <f>181.35*(1-Z1%)</f>
        <v>181.35</v>
      </c>
      <c r="F1005" s="2">
        <v>2</v>
      </c>
      <c r="G1005" s="2"/>
    </row>
    <row r="1006" spans="1:26" customHeight="1" ht="18" hidden="true" outlineLevel="3">
      <c r="A1006" s="2" t="s">
        <v>1868</v>
      </c>
      <c r="B1006" s="3" t="s">
        <v>1869</v>
      </c>
      <c r="C1006" s="2"/>
      <c r="D1006" s="2" t="s">
        <v>16</v>
      </c>
      <c r="E1006" s="4">
        <f>148.69*(1-Z1%)</f>
        <v>148.69</v>
      </c>
      <c r="F1006" s="2">
        <v>5</v>
      </c>
      <c r="G1006" s="2"/>
    </row>
    <row r="1007" spans="1:26" customHeight="1" ht="36" hidden="true" outlineLevel="3">
      <c r="A1007" s="2" t="s">
        <v>1870</v>
      </c>
      <c r="B1007" s="3" t="s">
        <v>1871</v>
      </c>
      <c r="C1007" s="2"/>
      <c r="D1007" s="2" t="s">
        <v>16</v>
      </c>
      <c r="E1007" s="4">
        <f>164.41*(1-Z1%)</f>
        <v>164.41</v>
      </c>
      <c r="F1007" s="2">
        <v>4</v>
      </c>
      <c r="G1007" s="2"/>
    </row>
    <row r="1008" spans="1:26" customHeight="1" ht="36" hidden="true" outlineLevel="3">
      <c r="A1008" s="2" t="s">
        <v>1872</v>
      </c>
      <c r="B1008" s="3" t="s">
        <v>1873</v>
      </c>
      <c r="C1008" s="2"/>
      <c r="D1008" s="2" t="s">
        <v>16</v>
      </c>
      <c r="E1008" s="4">
        <f>164.41*(1-Z1%)</f>
        <v>164.41</v>
      </c>
      <c r="F1008" s="2">
        <v>7</v>
      </c>
      <c r="G1008" s="2"/>
    </row>
    <row r="1009" spans="1:26" customHeight="1" ht="36" hidden="true" outlineLevel="3">
      <c r="A1009" s="2" t="s">
        <v>1874</v>
      </c>
      <c r="B1009" s="3" t="s">
        <v>1875</v>
      </c>
      <c r="C1009" s="2"/>
      <c r="D1009" s="2" t="s">
        <v>16</v>
      </c>
      <c r="E1009" s="4">
        <f>164.41*(1-Z1%)</f>
        <v>164.41</v>
      </c>
      <c r="F1009" s="2">
        <v>7</v>
      </c>
      <c r="G1009" s="2"/>
    </row>
    <row r="1010" spans="1:26" customHeight="1" ht="36" hidden="true" outlineLevel="3">
      <c r="A1010" s="2" t="s">
        <v>1876</v>
      </c>
      <c r="B1010" s="3" t="s">
        <v>1877</v>
      </c>
      <c r="C1010" s="2"/>
      <c r="D1010" s="2" t="s">
        <v>16</v>
      </c>
      <c r="E1010" s="4">
        <f>164.41*(1-Z1%)</f>
        <v>164.41</v>
      </c>
      <c r="F1010" s="2">
        <v>6</v>
      </c>
      <c r="G1010" s="2"/>
    </row>
    <row r="1011" spans="1:26" customHeight="1" ht="36" hidden="true" outlineLevel="3">
      <c r="A1011" s="2" t="s">
        <v>1878</v>
      </c>
      <c r="B1011" s="3" t="s">
        <v>1879</v>
      </c>
      <c r="C1011" s="2"/>
      <c r="D1011" s="2" t="s">
        <v>16</v>
      </c>
      <c r="E1011" s="4">
        <f>164.41*(1-Z1%)</f>
        <v>164.41</v>
      </c>
      <c r="F1011" s="2">
        <v>2</v>
      </c>
      <c r="G1011" s="2"/>
    </row>
    <row r="1012" spans="1:26" customHeight="1" ht="18" hidden="true" outlineLevel="3">
      <c r="A1012" s="2" t="s">
        <v>1880</v>
      </c>
      <c r="B1012" s="3" t="s">
        <v>1881</v>
      </c>
      <c r="C1012" s="2"/>
      <c r="D1012" s="2" t="s">
        <v>16</v>
      </c>
      <c r="E1012" s="4">
        <f>160.33*(1-Z1%)</f>
        <v>160.33</v>
      </c>
      <c r="F1012" s="2">
        <v>4</v>
      </c>
      <c r="G1012" s="2"/>
    </row>
    <row r="1013" spans="1:26" customHeight="1" ht="18" hidden="true" outlineLevel="3">
      <c r="A1013" s="2" t="s">
        <v>1882</v>
      </c>
      <c r="B1013" s="3" t="s">
        <v>1883</v>
      </c>
      <c r="C1013" s="2"/>
      <c r="D1013" s="2" t="s">
        <v>16</v>
      </c>
      <c r="E1013" s="4">
        <f>154.91*(1-Z1%)</f>
        <v>154.91</v>
      </c>
      <c r="F1013" s="2">
        <v>2</v>
      </c>
      <c r="G1013" s="2"/>
    </row>
    <row r="1014" spans="1:26" customHeight="1" ht="18" hidden="true" outlineLevel="3">
      <c r="A1014" s="2" t="s">
        <v>1884</v>
      </c>
      <c r="B1014" s="3" t="s">
        <v>1885</v>
      </c>
      <c r="C1014" s="2"/>
      <c r="D1014" s="2" t="s">
        <v>16</v>
      </c>
      <c r="E1014" s="4">
        <f>166.99*(1-Z1%)</f>
        <v>166.99</v>
      </c>
      <c r="F1014" s="2">
        <v>2</v>
      </c>
      <c r="G1014" s="2"/>
    </row>
    <row r="1015" spans="1:26" customHeight="1" ht="18" hidden="true" outlineLevel="3">
      <c r="A1015" s="2" t="s">
        <v>1886</v>
      </c>
      <c r="B1015" s="3" t="s">
        <v>1887</v>
      </c>
      <c r="C1015" s="2"/>
      <c r="D1015" s="2" t="s">
        <v>16</v>
      </c>
      <c r="E1015" s="4">
        <f>132.81*(1-Z1%)</f>
        <v>132.81</v>
      </c>
      <c r="F1015" s="2">
        <v>2</v>
      </c>
      <c r="G1015" s="2"/>
    </row>
    <row r="1016" spans="1:26" customHeight="1" ht="36" hidden="true" outlineLevel="3">
      <c r="A1016" s="2" t="s">
        <v>1888</v>
      </c>
      <c r="B1016" s="3" t="s">
        <v>1889</v>
      </c>
      <c r="C1016" s="2"/>
      <c r="D1016" s="2" t="s">
        <v>16</v>
      </c>
      <c r="E1016" s="4">
        <f>110.32*(1-Z1%)</f>
        <v>110.32</v>
      </c>
      <c r="F1016" s="2">
        <v>8</v>
      </c>
      <c r="G1016" s="2"/>
    </row>
    <row r="1017" spans="1:26" customHeight="1" ht="36" hidden="true" outlineLevel="3">
      <c r="A1017" s="2" t="s">
        <v>1890</v>
      </c>
      <c r="B1017" s="3" t="s">
        <v>1891</v>
      </c>
      <c r="C1017" s="2"/>
      <c r="D1017" s="2" t="s">
        <v>16</v>
      </c>
      <c r="E1017" s="4">
        <f>187.59*(1-Z1%)</f>
        <v>187.59</v>
      </c>
      <c r="F1017" s="2">
        <v>2</v>
      </c>
      <c r="G1017" s="2"/>
    </row>
    <row r="1018" spans="1:26" customHeight="1" ht="36" hidden="true" outlineLevel="3">
      <c r="A1018" s="2" t="s">
        <v>1892</v>
      </c>
      <c r="B1018" s="3" t="s">
        <v>1893</v>
      </c>
      <c r="C1018" s="2"/>
      <c r="D1018" s="2" t="s">
        <v>16</v>
      </c>
      <c r="E1018" s="4">
        <f>176.99*(1-Z1%)</f>
        <v>176.99</v>
      </c>
      <c r="F1018" s="2">
        <v>2</v>
      </c>
      <c r="G1018" s="2"/>
    </row>
    <row r="1019" spans="1:26" customHeight="1" ht="36" hidden="true" outlineLevel="3">
      <c r="A1019" s="2" t="s">
        <v>1894</v>
      </c>
      <c r="B1019" s="3" t="s">
        <v>1895</v>
      </c>
      <c r="C1019" s="2"/>
      <c r="D1019" s="2" t="s">
        <v>16</v>
      </c>
      <c r="E1019" s="4">
        <f>176.99*(1-Z1%)</f>
        <v>176.99</v>
      </c>
      <c r="F1019" s="2">
        <v>3</v>
      </c>
      <c r="G1019" s="2"/>
    </row>
    <row r="1020" spans="1:26" customHeight="1" ht="18" hidden="true" outlineLevel="3">
      <c r="A1020" s="2" t="s">
        <v>1896</v>
      </c>
      <c r="B1020" s="3" t="s">
        <v>1897</v>
      </c>
      <c r="C1020" s="2"/>
      <c r="D1020" s="2" t="s">
        <v>16</v>
      </c>
      <c r="E1020" s="4">
        <f>162.21*(1-Z1%)</f>
        <v>162.21</v>
      </c>
      <c r="F1020" s="2">
        <v>1</v>
      </c>
      <c r="G1020" s="2"/>
    </row>
    <row r="1021" spans="1:26" customHeight="1" ht="18" hidden="true" outlineLevel="3">
      <c r="A1021" s="2" t="s">
        <v>1898</v>
      </c>
      <c r="B1021" s="3" t="s">
        <v>1899</v>
      </c>
      <c r="C1021" s="2"/>
      <c r="D1021" s="2" t="s">
        <v>16</v>
      </c>
      <c r="E1021" s="4">
        <f>104.28*(1-Z1%)</f>
        <v>104.28</v>
      </c>
      <c r="F1021" s="2">
        <v>9</v>
      </c>
      <c r="G1021" s="2"/>
    </row>
    <row r="1022" spans="1:26" customHeight="1" ht="18" hidden="true" outlineLevel="3">
      <c r="A1022" s="2" t="s">
        <v>1900</v>
      </c>
      <c r="B1022" s="3" t="s">
        <v>1901</v>
      </c>
      <c r="C1022" s="2"/>
      <c r="D1022" s="2" t="s">
        <v>16</v>
      </c>
      <c r="E1022" s="4">
        <f>121.58*(1-Z1%)</f>
        <v>121.58</v>
      </c>
      <c r="F1022" s="2">
        <v>18</v>
      </c>
      <c r="G1022" s="2"/>
    </row>
    <row r="1023" spans="1:26" customHeight="1" ht="36" hidden="true" outlineLevel="3">
      <c r="A1023" s="2" t="s">
        <v>1902</v>
      </c>
      <c r="B1023" s="3" t="s">
        <v>1903</v>
      </c>
      <c r="C1023" s="2"/>
      <c r="D1023" s="2" t="s">
        <v>16</v>
      </c>
      <c r="E1023" s="4">
        <f>240.75*(1-Z1%)</f>
        <v>240.75</v>
      </c>
      <c r="F1023" s="2">
        <v>1</v>
      </c>
      <c r="G1023" s="2"/>
    </row>
    <row r="1024" spans="1:26" customHeight="1" ht="18" hidden="true" outlineLevel="3">
      <c r="A1024" s="2" t="s">
        <v>1904</v>
      </c>
      <c r="B1024" s="3" t="s">
        <v>1905</v>
      </c>
      <c r="C1024" s="2"/>
      <c r="D1024" s="2" t="s">
        <v>16</v>
      </c>
      <c r="E1024" s="4">
        <f>292.51*(1-Z1%)</f>
        <v>292.51</v>
      </c>
      <c r="F1024" s="2">
        <v>1</v>
      </c>
      <c r="G1024" s="2"/>
    </row>
    <row r="1025" spans="1:26" customHeight="1" ht="18" hidden="true" outlineLevel="3">
      <c r="A1025" s="2" t="s">
        <v>1906</v>
      </c>
      <c r="B1025" s="3" t="s">
        <v>1907</v>
      </c>
      <c r="C1025" s="2"/>
      <c r="D1025" s="2" t="s">
        <v>16</v>
      </c>
      <c r="E1025" s="4">
        <f>258.80*(1-Z1%)</f>
        <v>258.8</v>
      </c>
      <c r="F1025" s="2">
        <v>1</v>
      </c>
      <c r="G1025" s="2"/>
    </row>
    <row r="1026" spans="1:26" customHeight="1" ht="18" hidden="true" outlineLevel="3">
      <c r="A1026" s="2" t="s">
        <v>1908</v>
      </c>
      <c r="B1026" s="3" t="s">
        <v>1909</v>
      </c>
      <c r="C1026" s="2"/>
      <c r="D1026" s="2" t="s">
        <v>16</v>
      </c>
      <c r="E1026" s="4">
        <f>292.51*(1-Z1%)</f>
        <v>292.51</v>
      </c>
      <c r="F1026" s="2">
        <v>3</v>
      </c>
      <c r="G1026" s="2"/>
    </row>
    <row r="1027" spans="1:26" customHeight="1" ht="18" hidden="true" outlineLevel="3">
      <c r="A1027" s="2" t="s">
        <v>1910</v>
      </c>
      <c r="B1027" s="3" t="s">
        <v>1911</v>
      </c>
      <c r="C1027" s="2"/>
      <c r="D1027" s="2" t="s">
        <v>16</v>
      </c>
      <c r="E1027" s="4">
        <f>227.27*(1-Z1%)</f>
        <v>227.27</v>
      </c>
      <c r="F1027" s="2">
        <v>2</v>
      </c>
      <c r="G1027" s="2"/>
    </row>
    <row r="1028" spans="1:26" customHeight="1" ht="18" hidden="true" outlineLevel="3">
      <c r="A1028" s="2" t="s">
        <v>1912</v>
      </c>
      <c r="B1028" s="3" t="s">
        <v>1913</v>
      </c>
      <c r="C1028" s="2"/>
      <c r="D1028" s="2" t="s">
        <v>16</v>
      </c>
      <c r="E1028" s="4">
        <f>249.17*(1-Z1%)</f>
        <v>249.17</v>
      </c>
      <c r="F1028" s="2">
        <v>7</v>
      </c>
      <c r="G1028" s="2"/>
    </row>
    <row r="1029" spans="1:26" customHeight="1" ht="18" hidden="true" outlineLevel="3">
      <c r="A1029" s="2" t="s">
        <v>1914</v>
      </c>
      <c r="B1029" s="3" t="s">
        <v>1915</v>
      </c>
      <c r="C1029" s="2"/>
      <c r="D1029" s="2" t="s">
        <v>16</v>
      </c>
      <c r="E1029" s="4">
        <f>264.83*(1-Z1%)</f>
        <v>264.83</v>
      </c>
      <c r="F1029" s="2">
        <v>9</v>
      </c>
      <c r="G1029" s="2"/>
    </row>
    <row r="1030" spans="1:26" customHeight="1" ht="18" hidden="true" outlineLevel="3">
      <c r="A1030" s="2" t="s">
        <v>1916</v>
      </c>
      <c r="B1030" s="3" t="s">
        <v>1917</v>
      </c>
      <c r="C1030" s="2"/>
      <c r="D1030" s="2" t="s">
        <v>16</v>
      </c>
      <c r="E1030" s="4">
        <f>222.70*(1-Z1%)</f>
        <v>222.7</v>
      </c>
      <c r="F1030" s="2">
        <v>1</v>
      </c>
      <c r="G1030" s="2"/>
    </row>
    <row r="1031" spans="1:26" customHeight="1" ht="18" hidden="true" outlineLevel="3">
      <c r="A1031" s="2" t="s">
        <v>1918</v>
      </c>
      <c r="B1031" s="3" t="s">
        <v>1919</v>
      </c>
      <c r="C1031" s="2"/>
      <c r="D1031" s="2" t="s">
        <v>16</v>
      </c>
      <c r="E1031" s="4">
        <f>222.70*(1-Z1%)</f>
        <v>222.7</v>
      </c>
      <c r="F1031" s="2">
        <v>5</v>
      </c>
      <c r="G1031" s="2"/>
    </row>
    <row r="1032" spans="1:26" customHeight="1" ht="18" hidden="true" outlineLevel="3">
      <c r="A1032" s="2" t="s">
        <v>1920</v>
      </c>
      <c r="B1032" s="3" t="s">
        <v>1921</v>
      </c>
      <c r="C1032" s="2"/>
      <c r="D1032" s="2" t="s">
        <v>16</v>
      </c>
      <c r="E1032" s="4">
        <f>252.79*(1-Z1%)</f>
        <v>252.79</v>
      </c>
      <c r="F1032" s="2">
        <v>2</v>
      </c>
      <c r="G1032" s="2"/>
    </row>
    <row r="1033" spans="1:26" customHeight="1" ht="18" hidden="true" outlineLevel="3">
      <c r="A1033" s="2" t="s">
        <v>1922</v>
      </c>
      <c r="B1033" s="3" t="s">
        <v>1923</v>
      </c>
      <c r="C1033" s="2"/>
      <c r="D1033" s="2" t="s">
        <v>16</v>
      </c>
      <c r="E1033" s="4">
        <f>117.97*(1-Z1%)</f>
        <v>117.97</v>
      </c>
      <c r="F1033" s="2">
        <v>3</v>
      </c>
      <c r="G1033" s="2"/>
    </row>
    <row r="1034" spans="1:26" customHeight="1" ht="18" hidden="true" outlineLevel="3">
      <c r="A1034" s="2" t="s">
        <v>1924</v>
      </c>
      <c r="B1034" s="3" t="s">
        <v>1925</v>
      </c>
      <c r="C1034" s="2"/>
      <c r="D1034" s="2" t="s">
        <v>16</v>
      </c>
      <c r="E1034" s="4">
        <f>119.17*(1-Z1%)</f>
        <v>119.17</v>
      </c>
      <c r="F1034" s="2">
        <v>29</v>
      </c>
      <c r="G1034" s="2"/>
    </row>
    <row r="1035" spans="1:26" customHeight="1" ht="18" hidden="true" outlineLevel="3">
      <c r="A1035" s="2" t="s">
        <v>1926</v>
      </c>
      <c r="B1035" s="3" t="s">
        <v>1927</v>
      </c>
      <c r="C1035" s="2"/>
      <c r="D1035" s="2" t="s">
        <v>16</v>
      </c>
      <c r="E1035" s="4">
        <f>198.62*(1-Z1%)</f>
        <v>198.62</v>
      </c>
      <c r="F1035" s="2">
        <v>6</v>
      </c>
      <c r="G1035" s="2"/>
    </row>
    <row r="1036" spans="1:26" customHeight="1" ht="18" hidden="true" outlineLevel="3">
      <c r="A1036" s="2" t="s">
        <v>1928</v>
      </c>
      <c r="B1036" s="3" t="s">
        <v>1929</v>
      </c>
      <c r="C1036" s="2"/>
      <c r="D1036" s="2" t="s">
        <v>16</v>
      </c>
      <c r="E1036" s="4">
        <f>204.64*(1-Z1%)</f>
        <v>204.64</v>
      </c>
      <c r="F1036" s="2">
        <v>5</v>
      </c>
      <c r="G1036" s="2"/>
    </row>
    <row r="1037" spans="1:26" customHeight="1" ht="18" hidden="true" outlineLevel="3">
      <c r="A1037" s="2" t="s">
        <v>1930</v>
      </c>
      <c r="B1037" s="3" t="s">
        <v>1931</v>
      </c>
      <c r="C1037" s="2"/>
      <c r="D1037" s="2" t="s">
        <v>16</v>
      </c>
      <c r="E1037" s="4">
        <f>222.70*(1-Z1%)</f>
        <v>222.7</v>
      </c>
      <c r="F1037" s="2">
        <v>6</v>
      </c>
      <c r="G1037" s="2"/>
    </row>
    <row r="1038" spans="1:26" customHeight="1" ht="18" hidden="true" outlineLevel="3">
      <c r="A1038" s="2" t="s">
        <v>1932</v>
      </c>
      <c r="B1038" s="3" t="s">
        <v>1933</v>
      </c>
      <c r="C1038" s="2"/>
      <c r="D1038" s="2" t="s">
        <v>16</v>
      </c>
      <c r="E1038" s="4">
        <f>198.62*(1-Z1%)</f>
        <v>198.62</v>
      </c>
      <c r="F1038" s="2">
        <v>2</v>
      </c>
      <c r="G1038" s="2"/>
    </row>
    <row r="1039" spans="1:26" customHeight="1" ht="18" hidden="true" outlineLevel="3">
      <c r="A1039" s="2" t="s">
        <v>1934</v>
      </c>
      <c r="B1039" s="3" t="s">
        <v>1935</v>
      </c>
      <c r="C1039" s="2"/>
      <c r="D1039" s="2" t="s">
        <v>16</v>
      </c>
      <c r="E1039" s="4">
        <f>152.87*(1-Z1%)</f>
        <v>152.87</v>
      </c>
      <c r="F1039" s="2">
        <v>7</v>
      </c>
      <c r="G1039" s="2"/>
    </row>
    <row r="1040" spans="1:26" customHeight="1" ht="18" hidden="true" outlineLevel="3">
      <c r="A1040" s="2" t="s">
        <v>1936</v>
      </c>
      <c r="B1040" s="3" t="s">
        <v>1937</v>
      </c>
      <c r="C1040" s="2"/>
      <c r="D1040" s="2" t="s">
        <v>16</v>
      </c>
      <c r="E1040" s="4">
        <f>168.53*(1-Z1%)</f>
        <v>168.53</v>
      </c>
      <c r="F1040" s="2">
        <v>8</v>
      </c>
      <c r="G1040" s="2"/>
    </row>
    <row r="1041" spans="1:26" customHeight="1" ht="18" hidden="true" outlineLevel="3">
      <c r="A1041" s="2" t="s">
        <v>1938</v>
      </c>
      <c r="B1041" s="3" t="s">
        <v>1939</v>
      </c>
      <c r="C1041" s="2"/>
      <c r="D1041" s="2" t="s">
        <v>16</v>
      </c>
      <c r="E1041" s="4">
        <f>168.53*(1-Z1%)</f>
        <v>168.53</v>
      </c>
      <c r="F1041" s="2">
        <v>3</v>
      </c>
      <c r="G1041" s="2"/>
    </row>
    <row r="1042" spans="1:26" customHeight="1" ht="18" hidden="true" outlineLevel="3">
      <c r="A1042" s="2" t="s">
        <v>1940</v>
      </c>
      <c r="B1042" s="3" t="s">
        <v>1941</v>
      </c>
      <c r="C1042" s="2"/>
      <c r="D1042" s="2" t="s">
        <v>16</v>
      </c>
      <c r="E1042" s="4">
        <f>162.50*(1-Z1%)</f>
        <v>162.5</v>
      </c>
      <c r="F1042" s="2">
        <v>20</v>
      </c>
      <c r="G1042" s="2"/>
    </row>
    <row r="1043" spans="1:26" customHeight="1" ht="18" hidden="true" outlineLevel="3">
      <c r="A1043" s="2" t="s">
        <v>1942</v>
      </c>
      <c r="B1043" s="3" t="s">
        <v>1943</v>
      </c>
      <c r="C1043" s="2"/>
      <c r="D1043" s="2" t="s">
        <v>16</v>
      </c>
      <c r="E1043" s="4">
        <f>162.50*(1-Z1%)</f>
        <v>162.5</v>
      </c>
      <c r="F1043" s="2">
        <v>19</v>
      </c>
      <c r="G1043" s="2"/>
    </row>
    <row r="1044" spans="1:26" customHeight="1" ht="18" hidden="true" outlineLevel="3">
      <c r="A1044" s="2" t="s">
        <v>1944</v>
      </c>
      <c r="B1044" s="3" t="s">
        <v>1945</v>
      </c>
      <c r="C1044" s="2"/>
      <c r="D1044" s="2" t="s">
        <v>16</v>
      </c>
      <c r="E1044" s="4">
        <f>144.45*(1-Z1%)</f>
        <v>144.45</v>
      </c>
      <c r="F1044" s="2">
        <v>5</v>
      </c>
      <c r="G1044" s="2"/>
    </row>
    <row r="1045" spans="1:26" customHeight="1" ht="18" hidden="true" outlineLevel="3">
      <c r="A1045" s="2" t="s">
        <v>1946</v>
      </c>
      <c r="B1045" s="3" t="s">
        <v>1947</v>
      </c>
      <c r="C1045" s="2"/>
      <c r="D1045" s="2" t="s">
        <v>16</v>
      </c>
      <c r="E1045" s="4">
        <f>162.50*(1-Z1%)</f>
        <v>162.5</v>
      </c>
      <c r="F1045" s="2">
        <v>33</v>
      </c>
      <c r="G1045" s="2"/>
    </row>
    <row r="1046" spans="1:26" customHeight="1" ht="18" hidden="true" outlineLevel="3">
      <c r="A1046" s="2" t="s">
        <v>1948</v>
      </c>
      <c r="B1046" s="3" t="s">
        <v>1949</v>
      </c>
      <c r="C1046" s="2"/>
      <c r="D1046" s="2" t="s">
        <v>16</v>
      </c>
      <c r="E1046" s="4">
        <f>162.50*(1-Z1%)</f>
        <v>162.5</v>
      </c>
      <c r="F1046" s="2">
        <v>18</v>
      </c>
      <c r="G1046" s="2"/>
    </row>
    <row r="1047" spans="1:26" customHeight="1" ht="35" hidden="true" outlineLevel="2">
      <c r="A1047" s="5" t="s">
        <v>1950</v>
      </c>
      <c r="B1047" s="5"/>
      <c r="C1047" s="5"/>
      <c r="D1047" s="5"/>
      <c r="E1047" s="5"/>
      <c r="F1047" s="5"/>
      <c r="G1047" s="5"/>
    </row>
    <row r="1048" spans="1:26" customHeight="1" ht="18" hidden="true" outlineLevel="2">
      <c r="A1048" s="2" t="s">
        <v>1951</v>
      </c>
      <c r="B1048" s="3" t="s">
        <v>1952</v>
      </c>
      <c r="C1048" s="2"/>
      <c r="D1048" s="2" t="s">
        <v>16</v>
      </c>
      <c r="E1048" s="4">
        <f>99.00*(1-Z1%)</f>
        <v>99</v>
      </c>
      <c r="F1048" s="2">
        <v>17</v>
      </c>
      <c r="G1048" s="2"/>
    </row>
    <row r="1049" spans="1:26" customHeight="1" ht="18" hidden="true" outlineLevel="2">
      <c r="A1049" s="2" t="s">
        <v>1953</v>
      </c>
      <c r="B1049" s="3" t="s">
        <v>1954</v>
      </c>
      <c r="C1049" s="2"/>
      <c r="D1049" s="2" t="s">
        <v>16</v>
      </c>
      <c r="E1049" s="4">
        <f>30.94*(1-Z1%)</f>
        <v>30.94</v>
      </c>
      <c r="F1049" s="2">
        <v>20</v>
      </c>
      <c r="G1049" s="2"/>
    </row>
    <row r="1050" spans="1:26" customHeight="1" ht="18" hidden="true" outlineLevel="2">
      <c r="A1050" s="2" t="s">
        <v>1955</v>
      </c>
      <c r="B1050" s="3" t="s">
        <v>1956</v>
      </c>
      <c r="C1050" s="2"/>
      <c r="D1050" s="2" t="s">
        <v>16</v>
      </c>
      <c r="E1050" s="4">
        <f>49.50*(1-Z1%)</f>
        <v>49.5</v>
      </c>
      <c r="F1050" s="2">
        <v>20</v>
      </c>
      <c r="G1050" s="2"/>
    </row>
    <row r="1051" spans="1:26" customHeight="1" ht="36" hidden="true" outlineLevel="2">
      <c r="A1051" s="2" t="s">
        <v>1957</v>
      </c>
      <c r="B1051" s="3" t="s">
        <v>1958</v>
      </c>
      <c r="C1051" s="2"/>
      <c r="D1051" s="2" t="s">
        <v>16</v>
      </c>
      <c r="E1051" s="4">
        <f>38.48*(1-Z1%)</f>
        <v>38.48</v>
      </c>
      <c r="F1051" s="2">
        <v>28</v>
      </c>
      <c r="G1051" s="2"/>
    </row>
    <row r="1052" spans="1:26" customHeight="1" ht="36" hidden="true" outlineLevel="2">
      <c r="A1052" s="2" t="s">
        <v>1959</v>
      </c>
      <c r="B1052" s="3" t="s">
        <v>1960</v>
      </c>
      <c r="C1052" s="2"/>
      <c r="D1052" s="2" t="s">
        <v>16</v>
      </c>
      <c r="E1052" s="4">
        <f>38.48*(1-Z1%)</f>
        <v>38.48</v>
      </c>
      <c r="F1052" s="2">
        <v>20</v>
      </c>
      <c r="G1052" s="2"/>
    </row>
    <row r="1053" spans="1:26" customHeight="1" ht="36" hidden="true" outlineLevel="2">
      <c r="A1053" s="2" t="s">
        <v>1961</v>
      </c>
      <c r="B1053" s="3" t="s">
        <v>1962</v>
      </c>
      <c r="C1053" s="2"/>
      <c r="D1053" s="2" t="s">
        <v>16</v>
      </c>
      <c r="E1053" s="4">
        <f>53.87*(1-Z1%)</f>
        <v>53.87</v>
      </c>
      <c r="F1053" s="2">
        <v>20</v>
      </c>
      <c r="G1053" s="2"/>
    </row>
    <row r="1054" spans="1:26" customHeight="1" ht="35">
      <c r="A1054" s="1" t="s">
        <v>1963</v>
      </c>
      <c r="B1054" s="1"/>
      <c r="C1054" s="1"/>
      <c r="D1054" s="1"/>
      <c r="E1054" s="1"/>
      <c r="F1054" s="1"/>
      <c r="G1054" s="1"/>
    </row>
    <row r="1055" spans="1:26" customHeight="1" ht="35" hidden="true" outlineLevel="2">
      <c r="A1055" s="5" t="s">
        <v>1964</v>
      </c>
      <c r="B1055" s="5"/>
      <c r="C1055" s="5"/>
      <c r="D1055" s="5"/>
      <c r="E1055" s="5"/>
      <c r="F1055" s="5"/>
      <c r="G1055" s="5"/>
    </row>
    <row r="1056" spans="1:26" customHeight="1" ht="35" hidden="true" outlineLevel="3">
      <c r="A1056" s="5" t="s">
        <v>1965</v>
      </c>
      <c r="B1056" s="5"/>
      <c r="C1056" s="5"/>
      <c r="D1056" s="5"/>
      <c r="E1056" s="5"/>
      <c r="F1056" s="5"/>
      <c r="G1056" s="5"/>
    </row>
    <row r="1057" spans="1:26" customHeight="1" ht="18" hidden="true" outlineLevel="3">
      <c r="A1057" s="2" t="s">
        <v>1966</v>
      </c>
      <c r="B1057" s="3" t="s">
        <v>1967</v>
      </c>
      <c r="C1057" s="2"/>
      <c r="D1057" s="2" t="s">
        <v>16</v>
      </c>
      <c r="E1057" s="4">
        <f>103.95*(1-Z1%)</f>
        <v>103.95</v>
      </c>
      <c r="F1057" s="2">
        <v>9</v>
      </c>
      <c r="G1057" s="2"/>
    </row>
    <row r="1058" spans="1:26" customHeight="1" ht="18" hidden="true" outlineLevel="3">
      <c r="A1058" s="2" t="s">
        <v>1968</v>
      </c>
      <c r="B1058" s="3" t="s">
        <v>1969</v>
      </c>
      <c r="C1058" s="2"/>
      <c r="D1058" s="2" t="s">
        <v>16</v>
      </c>
      <c r="E1058" s="4">
        <f>103.95*(1-Z1%)</f>
        <v>103.95</v>
      </c>
      <c r="F1058" s="2">
        <v>16</v>
      </c>
      <c r="G1058" s="2"/>
    </row>
    <row r="1059" spans="1:26" customHeight="1" ht="18" hidden="true" outlineLevel="3">
      <c r="A1059" s="2" t="s">
        <v>1970</v>
      </c>
      <c r="B1059" s="3" t="s">
        <v>1971</v>
      </c>
      <c r="C1059" s="2"/>
      <c r="D1059" s="2" t="s">
        <v>16</v>
      </c>
      <c r="E1059" s="4">
        <f>65.96*(1-Z1%)</f>
        <v>65.96</v>
      </c>
      <c r="F1059" s="2">
        <v>24</v>
      </c>
      <c r="G1059" s="2"/>
    </row>
    <row r="1060" spans="1:26" customHeight="1" ht="18" hidden="true" outlineLevel="3">
      <c r="A1060" s="2" t="s">
        <v>1972</v>
      </c>
      <c r="B1060" s="3" t="s">
        <v>1973</v>
      </c>
      <c r="C1060" s="2"/>
      <c r="D1060" s="2" t="s">
        <v>16</v>
      </c>
      <c r="E1060" s="4">
        <f>65.96*(1-Z1%)</f>
        <v>65.96</v>
      </c>
      <c r="F1060" s="2">
        <v>17</v>
      </c>
      <c r="G1060" s="2"/>
    </row>
    <row r="1061" spans="1:26" customHeight="1" ht="36" hidden="true" outlineLevel="3">
      <c r="A1061" s="2" t="s">
        <v>1974</v>
      </c>
      <c r="B1061" s="3" t="s">
        <v>1975</v>
      </c>
      <c r="C1061" s="2"/>
      <c r="D1061" s="2" t="s">
        <v>16</v>
      </c>
      <c r="E1061" s="4">
        <f>95.60*(1-Z1%)</f>
        <v>95.6</v>
      </c>
      <c r="F1061" s="2">
        <v>6</v>
      </c>
      <c r="G1061" s="2"/>
    </row>
    <row r="1062" spans="1:26" customHeight="1" ht="18" hidden="true" outlineLevel="3">
      <c r="A1062" s="2" t="s">
        <v>1976</v>
      </c>
      <c r="B1062" s="3" t="s">
        <v>1977</v>
      </c>
      <c r="C1062" s="2"/>
      <c r="D1062" s="2" t="s">
        <v>16</v>
      </c>
      <c r="E1062" s="4">
        <f>84.03*(1-Z1%)</f>
        <v>84.03</v>
      </c>
      <c r="F1062" s="2">
        <v>2</v>
      </c>
      <c r="G1062" s="2"/>
    </row>
    <row r="1063" spans="1:26" customHeight="1" ht="18" hidden="true" outlineLevel="3">
      <c r="A1063" s="2" t="s">
        <v>1978</v>
      </c>
      <c r="B1063" s="3" t="s">
        <v>1979</v>
      </c>
      <c r="C1063" s="2"/>
      <c r="D1063" s="2" t="s">
        <v>16</v>
      </c>
      <c r="E1063" s="4">
        <f>84.03*(1-Z1%)</f>
        <v>84.03</v>
      </c>
      <c r="F1063" s="2">
        <v>1</v>
      </c>
      <c r="G1063" s="2"/>
    </row>
    <row r="1064" spans="1:26" customHeight="1" ht="18" hidden="true" outlineLevel="3">
      <c r="A1064" s="2" t="s">
        <v>1980</v>
      </c>
      <c r="B1064" s="3" t="s">
        <v>1981</v>
      </c>
      <c r="C1064" s="2"/>
      <c r="D1064" s="2" t="s">
        <v>16</v>
      </c>
      <c r="E1064" s="4">
        <f>80.84*(1-Z1%)</f>
        <v>80.84</v>
      </c>
      <c r="F1064" s="2">
        <v>6</v>
      </c>
      <c r="G1064" s="2"/>
    </row>
    <row r="1065" spans="1:26" customHeight="1" ht="36" hidden="true" outlineLevel="3">
      <c r="A1065" s="2" t="s">
        <v>1982</v>
      </c>
      <c r="B1065" s="3" t="s">
        <v>1983</v>
      </c>
      <c r="C1065" s="2"/>
      <c r="D1065" s="2" t="s">
        <v>16</v>
      </c>
      <c r="E1065" s="4">
        <f>67.25*(1-Z1%)</f>
        <v>67.25</v>
      </c>
      <c r="F1065" s="2">
        <v>5</v>
      </c>
      <c r="G1065" s="2"/>
    </row>
    <row r="1066" spans="1:26" customHeight="1" ht="36" hidden="true" outlineLevel="3">
      <c r="A1066" s="2" t="s">
        <v>1984</v>
      </c>
      <c r="B1066" s="3" t="s">
        <v>1985</v>
      </c>
      <c r="C1066" s="2"/>
      <c r="D1066" s="2" t="s">
        <v>16</v>
      </c>
      <c r="E1066" s="4">
        <f>84.06*(1-Z1%)</f>
        <v>84.06</v>
      </c>
      <c r="F1066" s="2">
        <v>4</v>
      </c>
      <c r="G1066" s="2"/>
    </row>
    <row r="1067" spans="1:26" customHeight="1" ht="36" hidden="true" outlineLevel="3">
      <c r="A1067" s="2" t="s">
        <v>1986</v>
      </c>
      <c r="B1067" s="3" t="s">
        <v>1987</v>
      </c>
      <c r="C1067" s="2"/>
      <c r="D1067" s="2" t="s">
        <v>16</v>
      </c>
      <c r="E1067" s="4">
        <f>84.06*(1-Z1%)</f>
        <v>84.06</v>
      </c>
      <c r="F1067" s="2">
        <v>7</v>
      </c>
      <c r="G1067" s="2"/>
    </row>
    <row r="1068" spans="1:26" customHeight="1" ht="18" hidden="true" outlineLevel="3">
      <c r="A1068" s="2" t="s">
        <v>1988</v>
      </c>
      <c r="B1068" s="3" t="s">
        <v>1989</v>
      </c>
      <c r="C1068" s="2"/>
      <c r="D1068" s="2" t="s">
        <v>16</v>
      </c>
      <c r="E1068" s="4">
        <f>66.69*(1-Z1%)</f>
        <v>66.69</v>
      </c>
      <c r="F1068" s="2">
        <v>5</v>
      </c>
      <c r="G1068" s="2"/>
    </row>
    <row r="1069" spans="1:26" customHeight="1" ht="18" hidden="true" outlineLevel="3">
      <c r="A1069" s="2" t="s">
        <v>1990</v>
      </c>
      <c r="B1069" s="3" t="s">
        <v>1991</v>
      </c>
      <c r="C1069" s="2"/>
      <c r="D1069" s="2" t="s">
        <v>16</v>
      </c>
      <c r="E1069" s="4">
        <f>75.97*(1-Z1%)</f>
        <v>75.97</v>
      </c>
      <c r="F1069" s="2">
        <v>16</v>
      </c>
      <c r="G1069" s="2"/>
    </row>
    <row r="1070" spans="1:26" customHeight="1" ht="18" hidden="true" outlineLevel="3">
      <c r="A1070" s="2" t="s">
        <v>1992</v>
      </c>
      <c r="B1070" s="3" t="s">
        <v>1993</v>
      </c>
      <c r="C1070" s="2"/>
      <c r="D1070" s="2" t="s">
        <v>16</v>
      </c>
      <c r="E1070" s="4">
        <f>73.05*(1-Z1%)</f>
        <v>73.05</v>
      </c>
      <c r="F1070" s="2">
        <v>8</v>
      </c>
      <c r="G1070" s="2"/>
    </row>
    <row r="1071" spans="1:26" customHeight="1" ht="18" hidden="true" outlineLevel="3">
      <c r="A1071" s="2" t="s">
        <v>1994</v>
      </c>
      <c r="B1071" s="3" t="s">
        <v>1995</v>
      </c>
      <c r="C1071" s="2"/>
      <c r="D1071" s="2" t="s">
        <v>16</v>
      </c>
      <c r="E1071" s="4">
        <f>80.35*(1-Z1%)</f>
        <v>80.35</v>
      </c>
      <c r="F1071" s="2">
        <v>8</v>
      </c>
      <c r="G1071" s="2"/>
    </row>
    <row r="1072" spans="1:26" customHeight="1" ht="18" hidden="true" outlineLevel="3">
      <c r="A1072" s="2" t="s">
        <v>1996</v>
      </c>
      <c r="B1072" s="3" t="s">
        <v>1997</v>
      </c>
      <c r="C1072" s="2"/>
      <c r="D1072" s="2" t="s">
        <v>16</v>
      </c>
      <c r="E1072" s="4">
        <f>80.35*(1-Z1%)</f>
        <v>80.35</v>
      </c>
      <c r="F1072" s="2">
        <v>7</v>
      </c>
      <c r="G1072" s="2"/>
    </row>
    <row r="1073" spans="1:26" customHeight="1" ht="18" hidden="true" outlineLevel="3">
      <c r="A1073" s="2" t="s">
        <v>1998</v>
      </c>
      <c r="B1073" s="3" t="s">
        <v>1999</v>
      </c>
      <c r="C1073" s="2"/>
      <c r="D1073" s="2" t="s">
        <v>16</v>
      </c>
      <c r="E1073" s="4">
        <f>82.08*(1-Z1%)</f>
        <v>82.08</v>
      </c>
      <c r="F1073" s="2">
        <v>18</v>
      </c>
      <c r="G1073" s="2"/>
    </row>
    <row r="1074" spans="1:26" customHeight="1" ht="18" hidden="true" outlineLevel="3">
      <c r="A1074" s="2" t="s">
        <v>2000</v>
      </c>
      <c r="B1074" s="3" t="s">
        <v>2001</v>
      </c>
      <c r="C1074" s="2"/>
      <c r="D1074" s="2" t="s">
        <v>16</v>
      </c>
      <c r="E1074" s="4">
        <f>140.22*(1-Z1%)</f>
        <v>140.22</v>
      </c>
      <c r="F1074" s="2">
        <v>11</v>
      </c>
      <c r="G1074" s="2"/>
    </row>
    <row r="1075" spans="1:26" customHeight="1" ht="18" hidden="true" outlineLevel="3">
      <c r="A1075" s="2" t="s">
        <v>2002</v>
      </c>
      <c r="B1075" s="3" t="s">
        <v>2003</v>
      </c>
      <c r="C1075" s="2"/>
      <c r="D1075" s="2" t="s">
        <v>16</v>
      </c>
      <c r="E1075" s="4">
        <f>114.16*(1-Z1%)</f>
        <v>114.16</v>
      </c>
      <c r="F1075" s="2">
        <v>7</v>
      </c>
      <c r="G1075" s="2"/>
    </row>
    <row r="1076" spans="1:26" customHeight="1" ht="18" hidden="true" outlineLevel="3">
      <c r="A1076" s="2" t="s">
        <v>2004</v>
      </c>
      <c r="B1076" s="3" t="s">
        <v>2005</v>
      </c>
      <c r="C1076" s="2"/>
      <c r="D1076" s="2" t="s">
        <v>16</v>
      </c>
      <c r="E1076" s="4">
        <f>114.16*(1-Z1%)</f>
        <v>114.16</v>
      </c>
      <c r="F1076" s="2">
        <v>6</v>
      </c>
      <c r="G1076" s="2"/>
    </row>
    <row r="1077" spans="1:26" customHeight="1" ht="18" hidden="true" outlineLevel="3">
      <c r="A1077" s="2" t="s">
        <v>2006</v>
      </c>
      <c r="B1077" s="3" t="s">
        <v>2007</v>
      </c>
      <c r="C1077" s="2"/>
      <c r="D1077" s="2" t="s">
        <v>16</v>
      </c>
      <c r="E1077" s="4">
        <f>102.70*(1-Z1%)</f>
        <v>102.7</v>
      </c>
      <c r="F1077" s="2">
        <v>9</v>
      </c>
      <c r="G1077" s="2"/>
    </row>
    <row r="1078" spans="1:26" customHeight="1" ht="35" hidden="true" outlineLevel="3">
      <c r="A1078" s="5" t="s">
        <v>2008</v>
      </c>
      <c r="B1078" s="5"/>
      <c r="C1078" s="5"/>
      <c r="D1078" s="5"/>
      <c r="E1078" s="5"/>
      <c r="F1078" s="5"/>
      <c r="G1078" s="5"/>
    </row>
    <row r="1079" spans="1:26" customHeight="1" ht="35" hidden="true" outlineLevel="4">
      <c r="A1079" s="5" t="s">
        <v>2009</v>
      </c>
      <c r="B1079" s="5"/>
      <c r="C1079" s="5"/>
      <c r="D1079" s="5"/>
      <c r="E1079" s="5"/>
      <c r="F1079" s="5"/>
      <c r="G1079" s="5"/>
    </row>
    <row r="1080" spans="1:26" customHeight="1" ht="18" hidden="true" outlineLevel="4">
      <c r="A1080" s="2" t="s">
        <v>2010</v>
      </c>
      <c r="B1080" s="3" t="s">
        <v>2011</v>
      </c>
      <c r="C1080" s="2"/>
      <c r="D1080" s="2" t="s">
        <v>16</v>
      </c>
      <c r="E1080" s="4">
        <f>69.85*(1-Z1%)</f>
        <v>69.85</v>
      </c>
      <c r="F1080" s="2">
        <v>33</v>
      </c>
      <c r="G1080" s="2"/>
    </row>
    <row r="1081" spans="1:26" customHeight="1" ht="18" hidden="true" outlineLevel="4">
      <c r="A1081" s="2" t="s">
        <v>2012</v>
      </c>
      <c r="B1081" s="3" t="s">
        <v>2013</v>
      </c>
      <c r="C1081" s="2"/>
      <c r="D1081" s="2" t="s">
        <v>16</v>
      </c>
      <c r="E1081" s="4">
        <f>95.54*(1-Z1%)</f>
        <v>95.54</v>
      </c>
      <c r="F1081" s="2">
        <v>23</v>
      </c>
      <c r="G1081" s="2"/>
    </row>
    <row r="1082" spans="1:26" customHeight="1" ht="18" hidden="true" outlineLevel="4">
      <c r="A1082" s="2" t="s">
        <v>2014</v>
      </c>
      <c r="B1082" s="3" t="s">
        <v>2015</v>
      </c>
      <c r="C1082" s="2"/>
      <c r="D1082" s="2" t="s">
        <v>16</v>
      </c>
      <c r="E1082" s="4">
        <f>130.07*(1-Z1%)</f>
        <v>130.07</v>
      </c>
      <c r="F1082" s="2">
        <v>10</v>
      </c>
      <c r="G1082" s="2"/>
    </row>
    <row r="1083" spans="1:26" customHeight="1" ht="18" hidden="true" outlineLevel="4">
      <c r="A1083" s="2" t="s">
        <v>2016</v>
      </c>
      <c r="B1083" s="3" t="s">
        <v>2017</v>
      </c>
      <c r="C1083" s="2"/>
      <c r="D1083" s="2" t="s">
        <v>16</v>
      </c>
      <c r="E1083" s="4">
        <f>61.01*(1-Z1%)</f>
        <v>61.01</v>
      </c>
      <c r="F1083" s="2">
        <v>55</v>
      </c>
      <c r="G1083" s="2"/>
    </row>
    <row r="1084" spans="1:26" customHeight="1" ht="18" hidden="true" outlineLevel="4">
      <c r="A1084" s="2" t="s">
        <v>2018</v>
      </c>
      <c r="B1084" s="3" t="s">
        <v>2019</v>
      </c>
      <c r="C1084" s="2"/>
      <c r="D1084" s="2" t="s">
        <v>16</v>
      </c>
      <c r="E1084" s="4">
        <f>61.01*(1-Z1%)</f>
        <v>61.01</v>
      </c>
      <c r="F1084" s="2">
        <v>35</v>
      </c>
      <c r="G1084" s="2"/>
    </row>
    <row r="1085" spans="1:26" customHeight="1" ht="18" hidden="true" outlineLevel="4">
      <c r="A1085" s="2" t="s">
        <v>2020</v>
      </c>
      <c r="B1085" s="3" t="s">
        <v>2021</v>
      </c>
      <c r="C1085" s="2"/>
      <c r="D1085" s="2" t="s">
        <v>16</v>
      </c>
      <c r="E1085" s="4">
        <f>68.54*(1-Z1%)</f>
        <v>68.54</v>
      </c>
      <c r="F1085" s="2">
        <v>2</v>
      </c>
      <c r="G1085" s="2"/>
    </row>
    <row r="1086" spans="1:26" customHeight="1" ht="18" hidden="true" outlineLevel="4">
      <c r="A1086" s="2" t="s">
        <v>2022</v>
      </c>
      <c r="B1086" s="3" t="s">
        <v>2023</v>
      </c>
      <c r="C1086" s="2"/>
      <c r="D1086" s="2" t="s">
        <v>16</v>
      </c>
      <c r="E1086" s="4">
        <f>65.62*(1-Z1%)</f>
        <v>65.62</v>
      </c>
      <c r="F1086" s="2">
        <v>30</v>
      </c>
      <c r="G1086" s="2"/>
    </row>
    <row r="1087" spans="1:26" customHeight="1" ht="18" hidden="true" outlineLevel="4">
      <c r="A1087" s="2" t="s">
        <v>2024</v>
      </c>
      <c r="B1087" s="3" t="s">
        <v>2025</v>
      </c>
      <c r="C1087" s="2"/>
      <c r="D1087" s="2" t="s">
        <v>16</v>
      </c>
      <c r="E1087" s="4">
        <f>78.73*(1-Z1%)</f>
        <v>78.73</v>
      </c>
      <c r="F1087" s="2">
        <v>17</v>
      </c>
      <c r="G1087" s="2"/>
    </row>
    <row r="1088" spans="1:26" customHeight="1" ht="18" hidden="true" outlineLevel="4">
      <c r="A1088" s="2" t="s">
        <v>2026</v>
      </c>
      <c r="B1088" s="3" t="s">
        <v>2027</v>
      </c>
      <c r="C1088" s="2"/>
      <c r="D1088" s="2" t="s">
        <v>16</v>
      </c>
      <c r="E1088" s="4">
        <f>105.34*(1-Z1%)</f>
        <v>105.34</v>
      </c>
      <c r="F1088" s="2">
        <v>13</v>
      </c>
      <c r="G1088" s="2"/>
    </row>
    <row r="1089" spans="1:26" customHeight="1" ht="18" hidden="true" outlineLevel="4">
      <c r="A1089" s="2" t="s">
        <v>2028</v>
      </c>
      <c r="B1089" s="3" t="s">
        <v>2029</v>
      </c>
      <c r="C1089" s="2"/>
      <c r="D1089" s="2" t="s">
        <v>16</v>
      </c>
      <c r="E1089" s="4">
        <f>109.46*(1-Z1%)</f>
        <v>109.46</v>
      </c>
      <c r="F1089" s="2">
        <v>47</v>
      </c>
      <c r="G1089" s="2"/>
    </row>
    <row r="1090" spans="1:26" customHeight="1" ht="36" hidden="true" outlineLevel="4">
      <c r="A1090" s="2" t="s">
        <v>2030</v>
      </c>
      <c r="B1090" s="3" t="s">
        <v>2031</v>
      </c>
      <c r="C1090" s="2"/>
      <c r="D1090" s="2" t="s">
        <v>16</v>
      </c>
      <c r="E1090" s="4">
        <f>86.33*(1-Z1%)</f>
        <v>86.33</v>
      </c>
      <c r="F1090" s="2">
        <v>25</v>
      </c>
      <c r="G1090" s="2"/>
    </row>
    <row r="1091" spans="1:26" customHeight="1" ht="36" hidden="true" outlineLevel="4">
      <c r="A1091" s="2" t="s">
        <v>2032</v>
      </c>
      <c r="B1091" s="3" t="s">
        <v>2033</v>
      </c>
      <c r="C1091" s="2"/>
      <c r="D1091" s="2" t="s">
        <v>16</v>
      </c>
      <c r="E1091" s="4">
        <f>86.33*(1-Z1%)</f>
        <v>86.33</v>
      </c>
      <c r="F1091" s="2">
        <v>29</v>
      </c>
      <c r="G1091" s="2"/>
    </row>
    <row r="1092" spans="1:26" customHeight="1" ht="18" hidden="true" outlineLevel="4">
      <c r="A1092" s="2" t="s">
        <v>2034</v>
      </c>
      <c r="B1092" s="3" t="s">
        <v>2035</v>
      </c>
      <c r="C1092" s="2"/>
      <c r="D1092" s="2" t="s">
        <v>16</v>
      </c>
      <c r="E1092" s="4">
        <f>165.72*(1-Z1%)</f>
        <v>165.72</v>
      </c>
      <c r="F1092" s="2">
        <v>21</v>
      </c>
      <c r="G1092" s="2"/>
    </row>
    <row r="1093" spans="1:26" customHeight="1" ht="18" hidden="true" outlineLevel="4">
      <c r="A1093" s="2" t="s">
        <v>2036</v>
      </c>
      <c r="B1093" s="3" t="s">
        <v>2037</v>
      </c>
      <c r="C1093" s="2"/>
      <c r="D1093" s="2" t="s">
        <v>16</v>
      </c>
      <c r="E1093" s="4">
        <f>165.72*(1-Z1%)</f>
        <v>165.72</v>
      </c>
      <c r="F1093" s="2">
        <v>8</v>
      </c>
      <c r="G1093" s="2"/>
    </row>
    <row r="1094" spans="1:26" customHeight="1" ht="18" hidden="true" outlineLevel="4">
      <c r="A1094" s="2" t="s">
        <v>2038</v>
      </c>
      <c r="B1094" s="3" t="s">
        <v>2039</v>
      </c>
      <c r="C1094" s="2"/>
      <c r="D1094" s="2" t="s">
        <v>16</v>
      </c>
      <c r="E1094" s="4">
        <f>101.30*(1-Z1%)</f>
        <v>101.3</v>
      </c>
      <c r="F1094" s="2">
        <v>19</v>
      </c>
      <c r="G1094" s="2"/>
    </row>
    <row r="1095" spans="1:26" customHeight="1" ht="18" hidden="true" outlineLevel="4">
      <c r="A1095" s="2" t="s">
        <v>2040</v>
      </c>
      <c r="B1095" s="3" t="s">
        <v>2041</v>
      </c>
      <c r="C1095" s="2"/>
      <c r="D1095" s="2" t="s">
        <v>16</v>
      </c>
      <c r="E1095" s="4">
        <f>62.07*(1-Z1%)</f>
        <v>62.07</v>
      </c>
      <c r="F1095" s="2">
        <v>39</v>
      </c>
      <c r="G1095" s="2"/>
    </row>
    <row r="1096" spans="1:26" customHeight="1" ht="18" hidden="true" outlineLevel="4">
      <c r="A1096" s="2" t="s">
        <v>2042</v>
      </c>
      <c r="B1096" s="3" t="s">
        <v>2043</v>
      </c>
      <c r="C1096" s="2"/>
      <c r="D1096" s="2" t="s">
        <v>16</v>
      </c>
      <c r="E1096" s="4">
        <f>68.34*(1-Z1%)</f>
        <v>68.34</v>
      </c>
      <c r="F1096" s="2">
        <v>22</v>
      </c>
      <c r="G1096" s="2"/>
    </row>
    <row r="1097" spans="1:26" customHeight="1" ht="18" hidden="true" outlineLevel="4">
      <c r="A1097" s="2" t="s">
        <v>2044</v>
      </c>
      <c r="B1097" s="3" t="s">
        <v>2045</v>
      </c>
      <c r="C1097" s="2"/>
      <c r="D1097" s="2" t="s">
        <v>16</v>
      </c>
      <c r="E1097" s="4">
        <f>105.29*(1-Z1%)</f>
        <v>105.29</v>
      </c>
      <c r="F1097" s="2">
        <v>15</v>
      </c>
      <c r="G1097" s="2"/>
    </row>
    <row r="1098" spans="1:26" customHeight="1" ht="18" hidden="true" outlineLevel="4">
      <c r="A1098" s="2" t="s">
        <v>2046</v>
      </c>
      <c r="B1098" s="3" t="s">
        <v>2047</v>
      </c>
      <c r="C1098" s="2"/>
      <c r="D1098" s="2" t="s">
        <v>16</v>
      </c>
      <c r="E1098" s="4">
        <f>75.22*(1-Z1%)</f>
        <v>75.22</v>
      </c>
      <c r="F1098" s="2">
        <v>8</v>
      </c>
      <c r="G1098" s="2"/>
    </row>
    <row r="1099" spans="1:26" customHeight="1" ht="18" hidden="true" outlineLevel="4">
      <c r="A1099" s="2" t="s">
        <v>2048</v>
      </c>
      <c r="B1099" s="3" t="s">
        <v>2049</v>
      </c>
      <c r="C1099" s="2"/>
      <c r="D1099" s="2" t="s">
        <v>16</v>
      </c>
      <c r="E1099" s="4">
        <f>62.07*(1-Z1%)</f>
        <v>62.07</v>
      </c>
      <c r="F1099" s="2">
        <v>17</v>
      </c>
      <c r="G1099" s="2"/>
    </row>
    <row r="1100" spans="1:26" customHeight="1" ht="18" hidden="true" outlineLevel="4">
      <c r="A1100" s="2" t="s">
        <v>2050</v>
      </c>
      <c r="B1100" s="3" t="s">
        <v>2051</v>
      </c>
      <c r="C1100" s="2"/>
      <c r="D1100" s="2" t="s">
        <v>16</v>
      </c>
      <c r="E1100" s="4">
        <f>148.73*(1-Z1%)</f>
        <v>148.73</v>
      </c>
      <c r="F1100" s="2">
        <v>18</v>
      </c>
      <c r="G1100" s="2"/>
    </row>
    <row r="1101" spans="1:26" customHeight="1" ht="18" hidden="true" outlineLevel="4">
      <c r="A1101" s="2" t="s">
        <v>2052</v>
      </c>
      <c r="B1101" s="3" t="s">
        <v>2053</v>
      </c>
      <c r="C1101" s="2"/>
      <c r="D1101" s="2" t="s">
        <v>16</v>
      </c>
      <c r="E1101" s="4">
        <f>148.73*(1-Z1%)</f>
        <v>148.73</v>
      </c>
      <c r="F1101" s="2">
        <v>20</v>
      </c>
      <c r="G1101" s="2"/>
    </row>
    <row r="1102" spans="1:26" customHeight="1" ht="18" hidden="true" outlineLevel="4">
      <c r="A1102" s="2" t="s">
        <v>2054</v>
      </c>
      <c r="B1102" s="3" t="s">
        <v>2055</v>
      </c>
      <c r="C1102" s="2"/>
      <c r="D1102" s="2" t="s">
        <v>16</v>
      </c>
      <c r="E1102" s="4">
        <f>61.38*(1-Z1%)</f>
        <v>61.38</v>
      </c>
      <c r="F1102" s="2">
        <v>26</v>
      </c>
      <c r="G1102" s="2"/>
    </row>
    <row r="1103" spans="1:26" customHeight="1" ht="18" hidden="true" outlineLevel="4">
      <c r="A1103" s="2" t="s">
        <v>2056</v>
      </c>
      <c r="B1103" s="3" t="s">
        <v>2057</v>
      </c>
      <c r="C1103" s="2"/>
      <c r="D1103" s="2" t="s">
        <v>16</v>
      </c>
      <c r="E1103" s="4">
        <f>71.14*(1-Z1%)</f>
        <v>71.14</v>
      </c>
      <c r="F1103" s="2">
        <v>18</v>
      </c>
      <c r="G1103" s="2"/>
    </row>
    <row r="1104" spans="1:26" customHeight="1" ht="18" hidden="true" outlineLevel="4">
      <c r="A1104" s="2" t="s">
        <v>2058</v>
      </c>
      <c r="B1104" s="3" t="s">
        <v>2059</v>
      </c>
      <c r="C1104" s="2"/>
      <c r="D1104" s="2" t="s">
        <v>16</v>
      </c>
      <c r="E1104" s="4">
        <f>76.31*(1-Z1%)</f>
        <v>76.31</v>
      </c>
      <c r="F1104" s="2">
        <v>5</v>
      </c>
      <c r="G1104" s="2"/>
    </row>
    <row r="1105" spans="1:26" customHeight="1" ht="18" hidden="true" outlineLevel="4">
      <c r="A1105" s="2" t="s">
        <v>2060</v>
      </c>
      <c r="B1105" s="3" t="s">
        <v>2061</v>
      </c>
      <c r="C1105" s="2"/>
      <c r="D1105" s="2" t="s">
        <v>16</v>
      </c>
      <c r="E1105" s="4">
        <f>56.41*(1-Z1%)</f>
        <v>56.41</v>
      </c>
      <c r="F1105" s="2">
        <v>12</v>
      </c>
      <c r="G1105" s="2"/>
    </row>
    <row r="1106" spans="1:26" customHeight="1" ht="18" hidden="true" outlineLevel="4">
      <c r="A1106" s="2" t="s">
        <v>2062</v>
      </c>
      <c r="B1106" s="3" t="s">
        <v>2063</v>
      </c>
      <c r="C1106" s="2"/>
      <c r="D1106" s="2" t="s">
        <v>16</v>
      </c>
      <c r="E1106" s="4">
        <f>63.85*(1-Z1%)</f>
        <v>63.85</v>
      </c>
      <c r="F1106" s="2">
        <v>1</v>
      </c>
      <c r="G1106" s="2"/>
    </row>
    <row r="1107" spans="1:26" customHeight="1" ht="18" hidden="true" outlineLevel="4">
      <c r="A1107" s="2" t="s">
        <v>2064</v>
      </c>
      <c r="B1107" s="3" t="s">
        <v>2065</v>
      </c>
      <c r="C1107" s="2"/>
      <c r="D1107" s="2" t="s">
        <v>16</v>
      </c>
      <c r="E1107" s="4">
        <f>58.71*(1-Z1%)</f>
        <v>58.71</v>
      </c>
      <c r="F1107" s="2">
        <v>22</v>
      </c>
      <c r="G1107" s="2"/>
    </row>
    <row r="1108" spans="1:26" customHeight="1" ht="36" hidden="true" outlineLevel="4">
      <c r="A1108" s="2" t="s">
        <v>2066</v>
      </c>
      <c r="B1108" s="3" t="s">
        <v>2067</v>
      </c>
      <c r="C1108" s="2"/>
      <c r="D1108" s="2" t="s">
        <v>16</v>
      </c>
      <c r="E1108" s="4">
        <f>67.25*(1-Z1%)</f>
        <v>67.25</v>
      </c>
      <c r="F1108" s="2">
        <v>28</v>
      </c>
      <c r="G1108" s="2"/>
    </row>
    <row r="1109" spans="1:26" customHeight="1" ht="18" hidden="true" outlineLevel="4">
      <c r="A1109" s="2" t="s">
        <v>2068</v>
      </c>
      <c r="B1109" s="3" t="s">
        <v>2069</v>
      </c>
      <c r="C1109" s="2"/>
      <c r="D1109" s="2" t="s">
        <v>16</v>
      </c>
      <c r="E1109" s="4">
        <f>81.44*(1-Z1%)</f>
        <v>81.44</v>
      </c>
      <c r="F1109" s="2">
        <v>49</v>
      </c>
      <c r="G1109" s="2"/>
    </row>
    <row r="1110" spans="1:26" customHeight="1" ht="18" hidden="true" outlineLevel="4">
      <c r="A1110" s="2" t="s">
        <v>2070</v>
      </c>
      <c r="B1110" s="3" t="s">
        <v>2071</v>
      </c>
      <c r="C1110" s="2"/>
      <c r="D1110" s="2" t="s">
        <v>16</v>
      </c>
      <c r="E1110" s="4">
        <f>81.44*(1-Z1%)</f>
        <v>81.44</v>
      </c>
      <c r="F1110" s="2">
        <v>18</v>
      </c>
      <c r="G1110" s="2"/>
    </row>
    <row r="1111" spans="1:26" customHeight="1" ht="18" hidden="true" outlineLevel="4">
      <c r="A1111" s="2" t="s">
        <v>2072</v>
      </c>
      <c r="B1111" s="3" t="s">
        <v>2073</v>
      </c>
      <c r="C1111" s="2"/>
      <c r="D1111" s="2" t="s">
        <v>16</v>
      </c>
      <c r="E1111" s="4">
        <f>117.69*(1-Z1%)</f>
        <v>117.69</v>
      </c>
      <c r="F1111" s="2">
        <v>5</v>
      </c>
      <c r="G1111" s="2"/>
    </row>
    <row r="1112" spans="1:26" customHeight="1" ht="18" hidden="true" outlineLevel="4">
      <c r="A1112" s="2" t="s">
        <v>2074</v>
      </c>
      <c r="B1112" s="3" t="s">
        <v>2075</v>
      </c>
      <c r="C1112" s="2"/>
      <c r="D1112" s="2" t="s">
        <v>16</v>
      </c>
      <c r="E1112" s="4">
        <f>85.23*(1-Z1%)</f>
        <v>85.23</v>
      </c>
      <c r="F1112" s="2">
        <v>2</v>
      </c>
      <c r="G1112" s="2"/>
    </row>
    <row r="1113" spans="1:26" customHeight="1" ht="18" hidden="true" outlineLevel="4">
      <c r="A1113" s="2" t="s">
        <v>2076</v>
      </c>
      <c r="B1113" s="3" t="s">
        <v>2077</v>
      </c>
      <c r="C1113" s="2"/>
      <c r="D1113" s="2" t="s">
        <v>16</v>
      </c>
      <c r="E1113" s="4">
        <f>71.82*(1-Z1%)</f>
        <v>71.82</v>
      </c>
      <c r="F1113" s="2">
        <v>14</v>
      </c>
      <c r="G1113" s="2"/>
    </row>
    <row r="1114" spans="1:26" customHeight="1" ht="18" hidden="true" outlineLevel="4">
      <c r="A1114" s="2" t="s">
        <v>2078</v>
      </c>
      <c r="B1114" s="3" t="s">
        <v>2079</v>
      </c>
      <c r="C1114" s="2"/>
      <c r="D1114" s="2" t="s">
        <v>16</v>
      </c>
      <c r="E1114" s="4">
        <f>368.71*(1-Z1%)</f>
        <v>368.71</v>
      </c>
      <c r="F1114" s="2">
        <v>2</v>
      </c>
      <c r="G1114" s="2"/>
    </row>
    <row r="1115" spans="1:26" customHeight="1" ht="18" hidden="true" outlineLevel="4">
      <c r="A1115" s="2" t="s">
        <v>2080</v>
      </c>
      <c r="B1115" s="3" t="s">
        <v>2081</v>
      </c>
      <c r="C1115" s="2"/>
      <c r="D1115" s="2" t="s">
        <v>16</v>
      </c>
      <c r="E1115" s="4">
        <f>547.37*(1-Z1%)</f>
        <v>547.37</v>
      </c>
      <c r="F1115" s="2">
        <v>1</v>
      </c>
      <c r="G1115" s="2"/>
    </row>
    <row r="1116" spans="1:26" customHeight="1" ht="18" hidden="true" outlineLevel="4">
      <c r="A1116" s="2" t="s">
        <v>2082</v>
      </c>
      <c r="B1116" s="3" t="s">
        <v>2083</v>
      </c>
      <c r="C1116" s="2"/>
      <c r="D1116" s="2" t="s">
        <v>16</v>
      </c>
      <c r="E1116" s="4">
        <f>85.35*(1-Z1%)</f>
        <v>85.35</v>
      </c>
      <c r="F1116" s="2">
        <v>6</v>
      </c>
      <c r="G1116" s="2"/>
    </row>
    <row r="1117" spans="1:26" customHeight="1" ht="18" hidden="true" outlineLevel="4">
      <c r="A1117" s="2" t="s">
        <v>2084</v>
      </c>
      <c r="B1117" s="3" t="s">
        <v>2085</v>
      </c>
      <c r="C1117" s="2"/>
      <c r="D1117" s="2" t="s">
        <v>16</v>
      </c>
      <c r="E1117" s="4">
        <f>98.99*(1-Z1%)</f>
        <v>98.99</v>
      </c>
      <c r="F1117" s="2">
        <v>9</v>
      </c>
      <c r="G1117" s="2"/>
    </row>
    <row r="1118" spans="1:26" customHeight="1" ht="18" hidden="true" outlineLevel="4">
      <c r="A1118" s="2" t="s">
        <v>2086</v>
      </c>
      <c r="B1118" s="3" t="s">
        <v>2087</v>
      </c>
      <c r="C1118" s="2"/>
      <c r="D1118" s="2" t="s">
        <v>16</v>
      </c>
      <c r="E1118" s="4">
        <f>74.39*(1-Z1%)</f>
        <v>74.39</v>
      </c>
      <c r="F1118" s="2">
        <v>6</v>
      </c>
      <c r="G1118" s="2"/>
    </row>
    <row r="1119" spans="1:26" customHeight="1" ht="18" hidden="true" outlineLevel="4">
      <c r="A1119" s="2" t="s">
        <v>2088</v>
      </c>
      <c r="B1119" s="3" t="s">
        <v>2089</v>
      </c>
      <c r="C1119" s="2"/>
      <c r="D1119" s="2" t="s">
        <v>16</v>
      </c>
      <c r="E1119" s="4">
        <f>87.71*(1-Z1%)</f>
        <v>87.71</v>
      </c>
      <c r="F1119" s="2">
        <v>16</v>
      </c>
      <c r="G1119" s="2"/>
    </row>
    <row r="1120" spans="1:26" customHeight="1" ht="18" hidden="true" outlineLevel="4">
      <c r="A1120" s="2" t="s">
        <v>2090</v>
      </c>
      <c r="B1120" s="3" t="s">
        <v>2091</v>
      </c>
      <c r="C1120" s="2"/>
      <c r="D1120" s="2" t="s">
        <v>16</v>
      </c>
      <c r="E1120" s="4">
        <f>127.76*(1-Z1%)</f>
        <v>127.76</v>
      </c>
      <c r="F1120" s="2">
        <v>30</v>
      </c>
      <c r="G1120" s="2"/>
    </row>
    <row r="1121" spans="1:26" customHeight="1" ht="18" hidden="true" outlineLevel="4">
      <c r="A1121" s="2" t="s">
        <v>2092</v>
      </c>
      <c r="B1121" s="3" t="s">
        <v>2093</v>
      </c>
      <c r="C1121" s="2"/>
      <c r="D1121" s="2" t="s">
        <v>16</v>
      </c>
      <c r="E1121" s="4">
        <f>102.45*(1-Z1%)</f>
        <v>102.45</v>
      </c>
      <c r="F1121" s="2">
        <v>26</v>
      </c>
      <c r="G1121" s="2"/>
    </row>
    <row r="1122" spans="1:26" customHeight="1" ht="18" hidden="true" outlineLevel="4">
      <c r="A1122" s="2" t="s">
        <v>2094</v>
      </c>
      <c r="B1122" s="3" t="s">
        <v>2095</v>
      </c>
      <c r="C1122" s="2"/>
      <c r="D1122" s="2" t="s">
        <v>16</v>
      </c>
      <c r="E1122" s="4">
        <f>104.75*(1-Z1%)</f>
        <v>104.75</v>
      </c>
      <c r="F1122" s="2">
        <v>8</v>
      </c>
      <c r="G1122" s="2"/>
    </row>
    <row r="1123" spans="1:26" customHeight="1" ht="18" hidden="true" outlineLevel="4">
      <c r="A1123" s="2" t="s">
        <v>2096</v>
      </c>
      <c r="B1123" s="3" t="s">
        <v>2097</v>
      </c>
      <c r="C1123" s="2"/>
      <c r="D1123" s="2" t="s">
        <v>16</v>
      </c>
      <c r="E1123" s="4">
        <f>125.34*(1-Z1%)</f>
        <v>125.34</v>
      </c>
      <c r="F1123" s="2">
        <v>3</v>
      </c>
      <c r="G1123" s="2"/>
    </row>
    <row r="1124" spans="1:26" customHeight="1" ht="18" hidden="true" outlineLevel="4">
      <c r="A1124" s="2" t="s">
        <v>2098</v>
      </c>
      <c r="B1124" s="3" t="s">
        <v>2099</v>
      </c>
      <c r="C1124" s="2"/>
      <c r="D1124" s="2" t="s">
        <v>16</v>
      </c>
      <c r="E1124" s="4">
        <f>125.34*(1-Z1%)</f>
        <v>125.34</v>
      </c>
      <c r="F1124" s="2">
        <v>9</v>
      </c>
      <c r="G1124" s="2"/>
    </row>
    <row r="1125" spans="1:26" customHeight="1" ht="18" hidden="true" outlineLevel="4">
      <c r="A1125" s="2" t="s">
        <v>2100</v>
      </c>
      <c r="B1125" s="3" t="s">
        <v>2101</v>
      </c>
      <c r="C1125" s="2"/>
      <c r="D1125" s="2" t="s">
        <v>16</v>
      </c>
      <c r="E1125" s="4">
        <f>135.79*(1-Z1%)</f>
        <v>135.79</v>
      </c>
      <c r="F1125" s="2">
        <v>15</v>
      </c>
      <c r="G1125" s="2"/>
    </row>
    <row r="1126" spans="1:26" customHeight="1" ht="18" hidden="true" outlineLevel="4">
      <c r="A1126" s="2" t="s">
        <v>2102</v>
      </c>
      <c r="B1126" s="3" t="s">
        <v>2103</v>
      </c>
      <c r="C1126" s="2"/>
      <c r="D1126" s="2" t="s">
        <v>16</v>
      </c>
      <c r="E1126" s="4">
        <f>90.52*(1-Z1%)</f>
        <v>90.52</v>
      </c>
      <c r="F1126" s="2">
        <v>3</v>
      </c>
      <c r="G1126" s="2"/>
    </row>
    <row r="1127" spans="1:26" customHeight="1" ht="36" hidden="true" outlineLevel="4">
      <c r="A1127" s="2" t="s">
        <v>2104</v>
      </c>
      <c r="B1127" s="3" t="s">
        <v>2105</v>
      </c>
      <c r="C1127" s="2"/>
      <c r="D1127" s="2" t="s">
        <v>16</v>
      </c>
      <c r="E1127" s="4">
        <f>56.41*(1-Z1%)</f>
        <v>56.41</v>
      </c>
      <c r="F1127" s="2">
        <v>10</v>
      </c>
      <c r="G1127" s="2"/>
    </row>
    <row r="1128" spans="1:26" customHeight="1" ht="18" hidden="true" outlineLevel="4">
      <c r="A1128" s="2" t="s">
        <v>2106</v>
      </c>
      <c r="B1128" s="3" t="s">
        <v>2107</v>
      </c>
      <c r="C1128" s="2"/>
      <c r="D1128" s="2" t="s">
        <v>16</v>
      </c>
      <c r="E1128" s="4">
        <f>65.96*(1-Z1%)</f>
        <v>65.96</v>
      </c>
      <c r="F1128" s="2">
        <v>1</v>
      </c>
      <c r="G1128" s="2"/>
    </row>
    <row r="1129" spans="1:26" customHeight="1" ht="18" hidden="true" outlineLevel="4">
      <c r="A1129" s="2" t="s">
        <v>2108</v>
      </c>
      <c r="B1129" s="3" t="s">
        <v>2109</v>
      </c>
      <c r="C1129" s="2"/>
      <c r="D1129" s="2" t="s">
        <v>16</v>
      </c>
      <c r="E1129" s="4">
        <f>70.09*(1-Z1%)</f>
        <v>70.09</v>
      </c>
      <c r="F1129" s="2">
        <v>9</v>
      </c>
      <c r="G1129" s="2"/>
    </row>
    <row r="1130" spans="1:26" customHeight="1" ht="36" hidden="true" outlineLevel="4">
      <c r="A1130" s="2" t="s">
        <v>2110</v>
      </c>
      <c r="B1130" s="3" t="s">
        <v>2111</v>
      </c>
      <c r="C1130" s="2"/>
      <c r="D1130" s="2" t="s">
        <v>16</v>
      </c>
      <c r="E1130" s="4">
        <f>58.47*(1-Z1%)</f>
        <v>58.47</v>
      </c>
      <c r="F1130" s="2">
        <v>17</v>
      </c>
      <c r="G1130" s="2"/>
    </row>
    <row r="1131" spans="1:26" customHeight="1" ht="36" hidden="true" outlineLevel="4">
      <c r="A1131" s="2" t="s">
        <v>2112</v>
      </c>
      <c r="B1131" s="3" t="s">
        <v>2113</v>
      </c>
      <c r="C1131" s="2"/>
      <c r="D1131" s="2" t="s">
        <v>16</v>
      </c>
      <c r="E1131" s="4">
        <f>58.47*(1-Z1%)</f>
        <v>58.47</v>
      </c>
      <c r="F1131" s="2">
        <v>10</v>
      </c>
      <c r="G1131" s="2"/>
    </row>
    <row r="1132" spans="1:26" customHeight="1" ht="18" hidden="true" outlineLevel="4">
      <c r="A1132" s="2" t="s">
        <v>2114</v>
      </c>
      <c r="B1132" s="3" t="s">
        <v>2115</v>
      </c>
      <c r="C1132" s="2"/>
      <c r="D1132" s="2" t="s">
        <v>16</v>
      </c>
      <c r="E1132" s="4">
        <f>126.79*(1-Z1%)</f>
        <v>126.79</v>
      </c>
      <c r="F1132" s="2">
        <v>1</v>
      </c>
      <c r="G1132" s="2"/>
    </row>
    <row r="1133" spans="1:26" customHeight="1" ht="18" hidden="true" outlineLevel="4">
      <c r="A1133" s="2" t="s">
        <v>2116</v>
      </c>
      <c r="B1133" s="3" t="s">
        <v>2117</v>
      </c>
      <c r="C1133" s="2"/>
      <c r="D1133" s="2" t="s">
        <v>16</v>
      </c>
      <c r="E1133" s="4">
        <f>187.59*(1-Z1%)</f>
        <v>187.59</v>
      </c>
      <c r="F1133" s="2">
        <v>10</v>
      </c>
      <c r="G1133" s="2"/>
    </row>
    <row r="1134" spans="1:26" customHeight="1" ht="18" hidden="true" outlineLevel="4">
      <c r="A1134" s="2" t="s">
        <v>2118</v>
      </c>
      <c r="B1134" s="3" t="s">
        <v>2119</v>
      </c>
      <c r="C1134" s="2"/>
      <c r="D1134" s="2" t="s">
        <v>16</v>
      </c>
      <c r="E1134" s="4">
        <f>174.13*(1-Z1%)</f>
        <v>174.13</v>
      </c>
      <c r="F1134" s="2">
        <v>1</v>
      </c>
      <c r="G1134" s="2"/>
    </row>
    <row r="1135" spans="1:26" customHeight="1" ht="35" hidden="true" outlineLevel="3">
      <c r="A1135" s="5" t="s">
        <v>2120</v>
      </c>
      <c r="B1135" s="5"/>
      <c r="C1135" s="5"/>
      <c r="D1135" s="5"/>
      <c r="E1135" s="5"/>
      <c r="F1135" s="5"/>
      <c r="G1135" s="5"/>
    </row>
    <row r="1136" spans="1:26" customHeight="1" ht="18" hidden="true" outlineLevel="3">
      <c r="A1136" s="2" t="s">
        <v>2121</v>
      </c>
      <c r="B1136" s="3" t="s">
        <v>2122</v>
      </c>
      <c r="C1136" s="2"/>
      <c r="D1136" s="2" t="s">
        <v>16</v>
      </c>
      <c r="E1136" s="4">
        <f>63.00*(1-Z1%)</f>
        <v>63</v>
      </c>
      <c r="F1136" s="2">
        <v>10</v>
      </c>
      <c r="G1136" s="2"/>
    </row>
    <row r="1137" spans="1:26" customHeight="1" ht="18" hidden="true" outlineLevel="3">
      <c r="A1137" s="2" t="s">
        <v>2123</v>
      </c>
      <c r="B1137" s="3" t="s">
        <v>2124</v>
      </c>
      <c r="C1137" s="2"/>
      <c r="D1137" s="2" t="s">
        <v>16</v>
      </c>
      <c r="E1137" s="4">
        <f>63.00*(1-Z1%)</f>
        <v>63</v>
      </c>
      <c r="F1137" s="2">
        <v>27</v>
      </c>
      <c r="G1137" s="2"/>
    </row>
    <row r="1138" spans="1:26" customHeight="1" ht="18" hidden="true" outlineLevel="3">
      <c r="A1138" s="2" t="s">
        <v>2125</v>
      </c>
      <c r="B1138" s="3" t="s">
        <v>2126</v>
      </c>
      <c r="C1138" s="2"/>
      <c r="D1138" s="2" t="s">
        <v>16</v>
      </c>
      <c r="E1138" s="4">
        <f>48.35*(1-Z1%)</f>
        <v>48.35</v>
      </c>
      <c r="F1138" s="2">
        <v>30</v>
      </c>
      <c r="G1138" s="2"/>
    </row>
    <row r="1139" spans="1:26" customHeight="1" ht="18" hidden="true" outlineLevel="3">
      <c r="A1139" s="2" t="s">
        <v>2127</v>
      </c>
      <c r="B1139" s="3" t="s">
        <v>2128</v>
      </c>
      <c r="C1139" s="2"/>
      <c r="D1139" s="2" t="s">
        <v>16</v>
      </c>
      <c r="E1139" s="4">
        <f>81.48*(1-Z1%)</f>
        <v>81.48</v>
      </c>
      <c r="F1139" s="2">
        <v>6</v>
      </c>
      <c r="G1139" s="2"/>
    </row>
    <row r="1140" spans="1:26" customHeight="1" ht="18" hidden="true" outlineLevel="3">
      <c r="A1140" s="2" t="s">
        <v>2129</v>
      </c>
      <c r="B1140" s="3" t="s">
        <v>2130</v>
      </c>
      <c r="C1140" s="2"/>
      <c r="D1140" s="2" t="s">
        <v>16</v>
      </c>
      <c r="E1140" s="4">
        <f>112.80*(1-Z1%)</f>
        <v>112.8</v>
      </c>
      <c r="F1140" s="2">
        <v>23</v>
      </c>
      <c r="G1140" s="2"/>
    </row>
    <row r="1141" spans="1:26" customHeight="1" ht="18" hidden="true" outlineLevel="3">
      <c r="A1141" s="2" t="s">
        <v>2131</v>
      </c>
      <c r="B1141" s="3" t="s">
        <v>2132</v>
      </c>
      <c r="C1141" s="2"/>
      <c r="D1141" s="2" t="s">
        <v>16</v>
      </c>
      <c r="E1141" s="4">
        <f>43.97*(1-Z1%)</f>
        <v>43.97</v>
      </c>
      <c r="F1141" s="2">
        <v>18</v>
      </c>
      <c r="G1141" s="2"/>
    </row>
    <row r="1142" spans="1:26" customHeight="1" ht="18" hidden="true" outlineLevel="3">
      <c r="A1142" s="2" t="s">
        <v>2133</v>
      </c>
      <c r="B1142" s="3" t="s">
        <v>2134</v>
      </c>
      <c r="C1142" s="2"/>
      <c r="D1142" s="2" t="s">
        <v>16</v>
      </c>
      <c r="E1142" s="4">
        <f>57.23*(1-Z1%)</f>
        <v>57.23</v>
      </c>
      <c r="F1142" s="2">
        <v>28</v>
      </c>
      <c r="G1142" s="2"/>
    </row>
    <row r="1143" spans="1:26" customHeight="1" ht="18" hidden="true" outlineLevel="3">
      <c r="A1143" s="2" t="s">
        <v>2135</v>
      </c>
      <c r="B1143" s="3" t="s">
        <v>2136</v>
      </c>
      <c r="C1143" s="2"/>
      <c r="D1143" s="2" t="s">
        <v>16</v>
      </c>
      <c r="E1143" s="4">
        <f>57.23*(1-Z1%)</f>
        <v>57.23</v>
      </c>
      <c r="F1143" s="2">
        <v>29</v>
      </c>
      <c r="G1143" s="2"/>
    </row>
    <row r="1144" spans="1:26" customHeight="1" ht="18" hidden="true" outlineLevel="3">
      <c r="A1144" s="2" t="s">
        <v>2137</v>
      </c>
      <c r="B1144" s="3" t="s">
        <v>2138</v>
      </c>
      <c r="C1144" s="2"/>
      <c r="D1144" s="2" t="s">
        <v>16</v>
      </c>
      <c r="E1144" s="4">
        <f>51.35*(1-Z1%)</f>
        <v>51.35</v>
      </c>
      <c r="F1144" s="2">
        <v>33</v>
      </c>
      <c r="G1144" s="2"/>
    </row>
    <row r="1145" spans="1:26" customHeight="1" ht="18" hidden="true" outlineLevel="3">
      <c r="A1145" s="2" t="s">
        <v>2139</v>
      </c>
      <c r="B1145" s="3" t="s">
        <v>2140</v>
      </c>
      <c r="C1145" s="2"/>
      <c r="D1145" s="2" t="s">
        <v>16</v>
      </c>
      <c r="E1145" s="4">
        <f>69.07*(1-Z1%)</f>
        <v>69.07</v>
      </c>
      <c r="F1145" s="2">
        <v>52</v>
      </c>
      <c r="G1145" s="2"/>
    </row>
    <row r="1146" spans="1:26" customHeight="1" ht="18" hidden="true" outlineLevel="3">
      <c r="A1146" s="2" t="s">
        <v>2141</v>
      </c>
      <c r="B1146" s="3" t="s">
        <v>2142</v>
      </c>
      <c r="C1146" s="2"/>
      <c r="D1146" s="2" t="s">
        <v>16</v>
      </c>
      <c r="E1146" s="4">
        <f>95.54*(1-Z1%)</f>
        <v>95.54</v>
      </c>
      <c r="F1146" s="2">
        <v>33</v>
      </c>
      <c r="G1146" s="2"/>
    </row>
    <row r="1147" spans="1:26" customHeight="1" ht="18" hidden="true" outlineLevel="3">
      <c r="A1147" s="2" t="s">
        <v>2143</v>
      </c>
      <c r="B1147" s="3" t="s">
        <v>2144</v>
      </c>
      <c r="C1147" s="2"/>
      <c r="D1147" s="2" t="s">
        <v>16</v>
      </c>
      <c r="E1147" s="4">
        <f>35.69*(1-Z1%)</f>
        <v>35.69</v>
      </c>
      <c r="F1147" s="2">
        <v>62</v>
      </c>
      <c r="G1147" s="2"/>
    </row>
    <row r="1148" spans="1:26" customHeight="1" ht="18" hidden="true" outlineLevel="3">
      <c r="A1148" s="2" t="s">
        <v>2145</v>
      </c>
      <c r="B1148" s="3" t="s">
        <v>2146</v>
      </c>
      <c r="C1148" s="2"/>
      <c r="D1148" s="2" t="s">
        <v>16</v>
      </c>
      <c r="E1148" s="4">
        <f>35.69*(1-Z1%)</f>
        <v>35.69</v>
      </c>
      <c r="F1148" s="2">
        <v>66</v>
      </c>
      <c r="G1148" s="2"/>
    </row>
    <row r="1149" spans="1:26" customHeight="1" ht="18" hidden="true" outlineLevel="3">
      <c r="A1149" s="2" t="s">
        <v>2147</v>
      </c>
      <c r="B1149" s="3" t="s">
        <v>2148</v>
      </c>
      <c r="C1149" s="2"/>
      <c r="D1149" s="2" t="s">
        <v>16</v>
      </c>
      <c r="E1149" s="4">
        <f>63.85*(1-Z1%)</f>
        <v>63.85</v>
      </c>
      <c r="F1149" s="2">
        <v>25</v>
      </c>
      <c r="G1149" s="2"/>
    </row>
    <row r="1150" spans="1:26" customHeight="1" ht="18" hidden="true" outlineLevel="3">
      <c r="A1150" s="2" t="s">
        <v>2149</v>
      </c>
      <c r="B1150" s="3" t="s">
        <v>2150</v>
      </c>
      <c r="C1150" s="2"/>
      <c r="D1150" s="2" t="s">
        <v>16</v>
      </c>
      <c r="E1150" s="4">
        <f>67.52*(1-Z1%)</f>
        <v>67.52</v>
      </c>
      <c r="F1150" s="2">
        <v>6</v>
      </c>
      <c r="G1150" s="2"/>
    </row>
    <row r="1151" spans="1:26" customHeight="1" ht="36" hidden="true" outlineLevel="3">
      <c r="A1151" s="2" t="s">
        <v>2151</v>
      </c>
      <c r="B1151" s="3" t="s">
        <v>2152</v>
      </c>
      <c r="C1151" s="2"/>
      <c r="D1151" s="2" t="s">
        <v>16</v>
      </c>
      <c r="E1151" s="4">
        <f>75.01*(1-Z1%)</f>
        <v>75.01</v>
      </c>
      <c r="F1151" s="2">
        <v>3</v>
      </c>
      <c r="G1151" s="2"/>
    </row>
    <row r="1152" spans="1:26" customHeight="1" ht="36" hidden="true" outlineLevel="3">
      <c r="A1152" s="2" t="s">
        <v>2153</v>
      </c>
      <c r="B1152" s="3" t="s">
        <v>2154</v>
      </c>
      <c r="C1152" s="2"/>
      <c r="D1152" s="2" t="s">
        <v>16</v>
      </c>
      <c r="E1152" s="4">
        <f>72.42*(1-Z1%)</f>
        <v>72.42</v>
      </c>
      <c r="F1152" s="2">
        <v>6</v>
      </c>
      <c r="G1152" s="2"/>
    </row>
    <row r="1153" spans="1:26" customHeight="1" ht="36" hidden="true" outlineLevel="3">
      <c r="A1153" s="2" t="s">
        <v>2155</v>
      </c>
      <c r="B1153" s="3" t="s">
        <v>2156</v>
      </c>
      <c r="C1153" s="2"/>
      <c r="D1153" s="2" t="s">
        <v>16</v>
      </c>
      <c r="E1153" s="4">
        <f>76.98*(1-Z1%)</f>
        <v>76.98</v>
      </c>
      <c r="F1153" s="2">
        <v>26</v>
      </c>
      <c r="G1153" s="2"/>
    </row>
    <row r="1154" spans="1:26" customHeight="1" ht="36" hidden="true" outlineLevel="3">
      <c r="A1154" s="2" t="s">
        <v>2157</v>
      </c>
      <c r="B1154" s="3" t="s">
        <v>2158</v>
      </c>
      <c r="C1154" s="2"/>
      <c r="D1154" s="2" t="s">
        <v>16</v>
      </c>
      <c r="E1154" s="4">
        <f>81.02*(1-Z1%)</f>
        <v>81.02</v>
      </c>
      <c r="F1154" s="2">
        <v>5</v>
      </c>
      <c r="G1154" s="2"/>
    </row>
    <row r="1155" spans="1:26" customHeight="1" ht="18" hidden="true" outlineLevel="3">
      <c r="A1155" s="2" t="s">
        <v>2159</v>
      </c>
      <c r="B1155" s="3" t="s">
        <v>2160</v>
      </c>
      <c r="C1155" s="2"/>
      <c r="D1155" s="2" t="s">
        <v>16</v>
      </c>
      <c r="E1155" s="4">
        <f>82.99*(1-Z1%)</f>
        <v>82.99</v>
      </c>
      <c r="F1155" s="2">
        <v>17</v>
      </c>
      <c r="G1155" s="2"/>
    </row>
    <row r="1156" spans="1:26" customHeight="1" ht="18" hidden="true" outlineLevel="3">
      <c r="A1156" s="2" t="s">
        <v>2161</v>
      </c>
      <c r="B1156" s="3" t="s">
        <v>2162</v>
      </c>
      <c r="C1156" s="2"/>
      <c r="D1156" s="2" t="s">
        <v>16</v>
      </c>
      <c r="E1156" s="4">
        <f>81.73*(1-Z1%)</f>
        <v>81.73</v>
      </c>
      <c r="F1156" s="2">
        <v>5</v>
      </c>
      <c r="G1156" s="2"/>
    </row>
    <row r="1157" spans="1:26" customHeight="1" ht="18" hidden="true" outlineLevel="3">
      <c r="A1157" s="2" t="s">
        <v>2163</v>
      </c>
      <c r="B1157" s="3" t="s">
        <v>2164</v>
      </c>
      <c r="C1157" s="2"/>
      <c r="D1157" s="2" t="s">
        <v>16</v>
      </c>
      <c r="E1157" s="4">
        <f>144.34*(1-Z1%)</f>
        <v>144.34</v>
      </c>
      <c r="F1157" s="2">
        <v>2</v>
      </c>
      <c r="G1157" s="2"/>
    </row>
    <row r="1158" spans="1:26" customHeight="1" ht="18" hidden="true" outlineLevel="3">
      <c r="A1158" s="2" t="s">
        <v>2165</v>
      </c>
      <c r="B1158" s="3" t="s">
        <v>2166</v>
      </c>
      <c r="C1158" s="2"/>
      <c r="D1158" s="2" t="s">
        <v>16</v>
      </c>
      <c r="E1158" s="4">
        <f>60.58*(1-Z1%)</f>
        <v>60.58</v>
      </c>
      <c r="F1158" s="2">
        <v>10</v>
      </c>
      <c r="G1158" s="2"/>
    </row>
    <row r="1159" spans="1:26" customHeight="1" ht="18" hidden="true" outlineLevel="3">
      <c r="A1159" s="2" t="s">
        <v>2167</v>
      </c>
      <c r="B1159" s="3" t="s">
        <v>2168</v>
      </c>
      <c r="C1159" s="2"/>
      <c r="D1159" s="2" t="s">
        <v>16</v>
      </c>
      <c r="E1159" s="4">
        <f>82.20*(1-Z1%)</f>
        <v>82.2</v>
      </c>
      <c r="F1159" s="2">
        <v>21</v>
      </c>
      <c r="G1159" s="2"/>
    </row>
    <row r="1160" spans="1:26" customHeight="1" ht="18" hidden="true" outlineLevel="3">
      <c r="A1160" s="2" t="s">
        <v>2169</v>
      </c>
      <c r="B1160" s="3" t="s">
        <v>2170</v>
      </c>
      <c r="C1160" s="2"/>
      <c r="D1160" s="2" t="s">
        <v>16</v>
      </c>
      <c r="E1160" s="4">
        <f>55.62*(1-Z1%)</f>
        <v>55.62</v>
      </c>
      <c r="F1160" s="2">
        <v>14</v>
      </c>
      <c r="G1160" s="2"/>
    </row>
    <row r="1161" spans="1:26" customHeight="1" ht="18" hidden="true" outlineLevel="3">
      <c r="A1161" s="2" t="s">
        <v>2171</v>
      </c>
      <c r="B1161" s="3" t="s">
        <v>2172</v>
      </c>
      <c r="C1161" s="2"/>
      <c r="D1161" s="2" t="s">
        <v>16</v>
      </c>
      <c r="E1161" s="4">
        <f>55.62*(1-Z1%)</f>
        <v>55.62</v>
      </c>
      <c r="F1161" s="2">
        <v>39</v>
      </c>
      <c r="G1161" s="2"/>
    </row>
    <row r="1162" spans="1:26" customHeight="1" ht="18" hidden="true" outlineLevel="3">
      <c r="A1162" s="2" t="s">
        <v>2173</v>
      </c>
      <c r="B1162" s="3" t="s">
        <v>2174</v>
      </c>
      <c r="C1162" s="2"/>
      <c r="D1162" s="2" t="s">
        <v>16</v>
      </c>
      <c r="E1162" s="4">
        <f>108.64*(1-Z1%)</f>
        <v>108.64</v>
      </c>
      <c r="F1162" s="2">
        <v>13</v>
      </c>
      <c r="G1162" s="2"/>
    </row>
    <row r="1163" spans="1:26" customHeight="1" ht="18" hidden="true" outlineLevel="3">
      <c r="A1163" s="2" t="s">
        <v>2175</v>
      </c>
      <c r="B1163" s="3" t="s">
        <v>2176</v>
      </c>
      <c r="C1163" s="2"/>
      <c r="D1163" s="2" t="s">
        <v>16</v>
      </c>
      <c r="E1163" s="4">
        <f>83.49*(1-Z1%)</f>
        <v>83.49</v>
      </c>
      <c r="F1163" s="2">
        <v>1</v>
      </c>
      <c r="G1163" s="2"/>
    </row>
    <row r="1164" spans="1:26" customHeight="1" ht="36" hidden="true" outlineLevel="3">
      <c r="A1164" s="2" t="s">
        <v>2177</v>
      </c>
      <c r="B1164" s="3" t="s">
        <v>2178</v>
      </c>
      <c r="C1164" s="2"/>
      <c r="D1164" s="2" t="s">
        <v>16</v>
      </c>
      <c r="E1164" s="4">
        <f>70.20*(1-Z1%)</f>
        <v>70.2</v>
      </c>
      <c r="F1164" s="2">
        <v>1</v>
      </c>
      <c r="G1164" s="2"/>
    </row>
    <row r="1165" spans="1:26" customHeight="1" ht="36" hidden="true" outlineLevel="3">
      <c r="A1165" s="2" t="s">
        <v>2179</v>
      </c>
      <c r="B1165" s="3" t="s">
        <v>2180</v>
      </c>
      <c r="C1165" s="2"/>
      <c r="D1165" s="2" t="s">
        <v>16</v>
      </c>
      <c r="E1165" s="4">
        <f>77.35*(1-Z1%)</f>
        <v>77.35</v>
      </c>
      <c r="F1165" s="2">
        <v>13</v>
      </c>
      <c r="G1165" s="2"/>
    </row>
    <row r="1166" spans="1:26" customHeight="1" ht="18" hidden="true" outlineLevel="3">
      <c r="A1166" s="2" t="s">
        <v>2181</v>
      </c>
      <c r="B1166" s="3" t="s">
        <v>2182</v>
      </c>
      <c r="C1166" s="2"/>
      <c r="D1166" s="2" t="s">
        <v>16</v>
      </c>
      <c r="E1166" s="4">
        <f>62.86*(1-Z1%)</f>
        <v>62.86</v>
      </c>
      <c r="F1166" s="2">
        <v>14</v>
      </c>
      <c r="G1166" s="2"/>
    </row>
    <row r="1167" spans="1:26" customHeight="1" ht="18" hidden="true" outlineLevel="3">
      <c r="A1167" s="2" t="s">
        <v>2183</v>
      </c>
      <c r="B1167" s="3" t="s">
        <v>2184</v>
      </c>
      <c r="C1167" s="2"/>
      <c r="D1167" s="2" t="s">
        <v>16</v>
      </c>
      <c r="E1167" s="4">
        <f>47.21*(1-Z1%)</f>
        <v>47.21</v>
      </c>
      <c r="F1167" s="2">
        <v>13</v>
      </c>
      <c r="G1167" s="2"/>
    </row>
    <row r="1168" spans="1:26" customHeight="1" ht="18" hidden="true" outlineLevel="3">
      <c r="A1168" s="2" t="s">
        <v>2185</v>
      </c>
      <c r="B1168" s="3" t="s">
        <v>2186</v>
      </c>
      <c r="C1168" s="2"/>
      <c r="D1168" s="2" t="s">
        <v>16</v>
      </c>
      <c r="E1168" s="4">
        <f>69.07*(1-Z1%)</f>
        <v>69.07</v>
      </c>
      <c r="F1168" s="2">
        <v>30</v>
      </c>
      <c r="G1168" s="2"/>
    </row>
    <row r="1169" spans="1:26" customHeight="1" ht="18" hidden="true" outlineLevel="3">
      <c r="A1169" s="2" t="s">
        <v>2187</v>
      </c>
      <c r="B1169" s="3" t="s">
        <v>2188</v>
      </c>
      <c r="C1169" s="2"/>
      <c r="D1169" s="2" t="s">
        <v>16</v>
      </c>
      <c r="E1169" s="4">
        <f>47.85*(1-Z1%)</f>
        <v>47.85</v>
      </c>
      <c r="F1169" s="2">
        <v>3</v>
      </c>
      <c r="G1169" s="2"/>
    </row>
    <row r="1170" spans="1:26" customHeight="1" ht="18" hidden="true" outlineLevel="3">
      <c r="A1170" s="2" t="s">
        <v>2189</v>
      </c>
      <c r="B1170" s="3" t="s">
        <v>2190</v>
      </c>
      <c r="C1170" s="2"/>
      <c r="D1170" s="2" t="s">
        <v>16</v>
      </c>
      <c r="E1170" s="4">
        <f>49.75*(1-Z1%)</f>
        <v>49.75</v>
      </c>
      <c r="F1170" s="2">
        <v>19</v>
      </c>
      <c r="G1170" s="2"/>
    </row>
    <row r="1171" spans="1:26" customHeight="1" ht="18" hidden="true" outlineLevel="3">
      <c r="A1171" s="2" t="s">
        <v>2191</v>
      </c>
      <c r="B1171" s="3" t="s">
        <v>2192</v>
      </c>
      <c r="C1171" s="2"/>
      <c r="D1171" s="2" t="s">
        <v>16</v>
      </c>
      <c r="E1171" s="4">
        <f>49.14*(1-Z1%)</f>
        <v>49.14</v>
      </c>
      <c r="F1171" s="2">
        <v>19</v>
      </c>
      <c r="G1171" s="2"/>
    </row>
    <row r="1172" spans="1:26" customHeight="1" ht="18" hidden="true" outlineLevel="3">
      <c r="A1172" s="2" t="s">
        <v>2193</v>
      </c>
      <c r="B1172" s="3" t="s">
        <v>2194</v>
      </c>
      <c r="C1172" s="2"/>
      <c r="D1172" s="2" t="s">
        <v>16</v>
      </c>
      <c r="E1172" s="4">
        <f>39.14*(1-Z1%)</f>
        <v>39.14</v>
      </c>
      <c r="F1172" s="2">
        <v>26</v>
      </c>
      <c r="G1172" s="2"/>
    </row>
    <row r="1173" spans="1:26" customHeight="1" ht="18" hidden="true" outlineLevel="3">
      <c r="A1173" s="2" t="s">
        <v>2195</v>
      </c>
      <c r="B1173" s="3" t="s">
        <v>2196</v>
      </c>
      <c r="C1173" s="2"/>
      <c r="D1173" s="2" t="s">
        <v>16</v>
      </c>
      <c r="E1173" s="4">
        <f>48.35*(1-Z1%)</f>
        <v>48.35</v>
      </c>
      <c r="F1173" s="2">
        <v>27</v>
      </c>
      <c r="G1173" s="2"/>
    </row>
    <row r="1174" spans="1:26" customHeight="1" ht="18" hidden="true" outlineLevel="3">
      <c r="A1174" s="2" t="s">
        <v>2197</v>
      </c>
      <c r="B1174" s="3" t="s">
        <v>2198</v>
      </c>
      <c r="C1174" s="2"/>
      <c r="D1174" s="2" t="s">
        <v>16</v>
      </c>
      <c r="E1174" s="4">
        <f>75.97*(1-Z1%)</f>
        <v>75.97</v>
      </c>
      <c r="F1174" s="2">
        <v>26</v>
      </c>
      <c r="G1174" s="2"/>
    </row>
    <row r="1175" spans="1:26" customHeight="1" ht="18" hidden="true" outlineLevel="3">
      <c r="A1175" s="2" t="s">
        <v>2199</v>
      </c>
      <c r="B1175" s="3" t="s">
        <v>2200</v>
      </c>
      <c r="C1175" s="2"/>
      <c r="D1175" s="2" t="s">
        <v>16</v>
      </c>
      <c r="E1175" s="4">
        <f>75.97*(1-Z1%)</f>
        <v>75.97</v>
      </c>
      <c r="F1175" s="2">
        <v>17</v>
      </c>
      <c r="G1175" s="2"/>
    </row>
    <row r="1176" spans="1:26" customHeight="1" ht="18" hidden="true" outlineLevel="3">
      <c r="A1176" s="2" t="s">
        <v>2201</v>
      </c>
      <c r="B1176" s="3" t="s">
        <v>2202</v>
      </c>
      <c r="C1176" s="2"/>
      <c r="D1176" s="2" t="s">
        <v>16</v>
      </c>
      <c r="E1176" s="4">
        <f>61.01*(1-Z1%)</f>
        <v>61.01</v>
      </c>
      <c r="F1176" s="2">
        <v>15</v>
      </c>
      <c r="G1176" s="2"/>
    </row>
    <row r="1177" spans="1:26" customHeight="1" ht="18" hidden="true" outlineLevel="3">
      <c r="A1177" s="2" t="s">
        <v>2203</v>
      </c>
      <c r="B1177" s="3" t="s">
        <v>2204</v>
      </c>
      <c r="C1177" s="2"/>
      <c r="D1177" s="2" t="s">
        <v>16</v>
      </c>
      <c r="E1177" s="4">
        <f>61.01*(1-Z1%)</f>
        <v>61.01</v>
      </c>
      <c r="F1177" s="2">
        <v>20</v>
      </c>
      <c r="G1177" s="2"/>
    </row>
    <row r="1178" spans="1:26" customHeight="1" ht="18" hidden="true" outlineLevel="3">
      <c r="A1178" s="2" t="s">
        <v>2205</v>
      </c>
      <c r="B1178" s="3" t="s">
        <v>2206</v>
      </c>
      <c r="C1178" s="2"/>
      <c r="D1178" s="2" t="s">
        <v>16</v>
      </c>
      <c r="E1178" s="4">
        <f>43.97*(1-Z1%)</f>
        <v>43.97</v>
      </c>
      <c r="F1178" s="2">
        <v>20</v>
      </c>
      <c r="G1178" s="2"/>
    </row>
    <row r="1179" spans="1:26" customHeight="1" ht="18" hidden="true" outlineLevel="3">
      <c r="A1179" s="2" t="s">
        <v>2207</v>
      </c>
      <c r="B1179" s="3" t="s">
        <v>2208</v>
      </c>
      <c r="C1179" s="2"/>
      <c r="D1179" s="2" t="s">
        <v>16</v>
      </c>
      <c r="E1179" s="4">
        <f>43.97*(1-Z1%)</f>
        <v>43.97</v>
      </c>
      <c r="F1179" s="2">
        <v>1</v>
      </c>
      <c r="G1179" s="2"/>
    </row>
    <row r="1180" spans="1:26" customHeight="1" ht="18" hidden="true" outlineLevel="3">
      <c r="A1180" s="2" t="s">
        <v>2209</v>
      </c>
      <c r="B1180" s="3" t="s">
        <v>2210</v>
      </c>
      <c r="C1180" s="2"/>
      <c r="D1180" s="2" t="s">
        <v>16</v>
      </c>
      <c r="E1180" s="4">
        <f>41.04*(1-Z1%)</f>
        <v>41.04</v>
      </c>
      <c r="F1180" s="2">
        <v>15</v>
      </c>
      <c r="G1180" s="2"/>
    </row>
    <row r="1181" spans="1:26" customHeight="1" ht="18" hidden="true" outlineLevel="3">
      <c r="A1181" s="2" t="s">
        <v>2211</v>
      </c>
      <c r="B1181" s="3" t="s">
        <v>2212</v>
      </c>
      <c r="C1181" s="2"/>
      <c r="D1181" s="2" t="s">
        <v>16</v>
      </c>
      <c r="E1181" s="4">
        <f>46.17*(1-Z1%)</f>
        <v>46.17</v>
      </c>
      <c r="F1181" s="2">
        <v>5</v>
      </c>
      <c r="G1181" s="2"/>
    </row>
    <row r="1182" spans="1:26" customHeight="1" ht="18" hidden="true" outlineLevel="3">
      <c r="A1182" s="2" t="s">
        <v>2213</v>
      </c>
      <c r="B1182" s="3" t="s">
        <v>2214</v>
      </c>
      <c r="C1182" s="2"/>
      <c r="D1182" s="2" t="s">
        <v>16</v>
      </c>
      <c r="E1182" s="4">
        <f>46.17*(1-Z1%)</f>
        <v>46.17</v>
      </c>
      <c r="F1182" s="2">
        <v>9</v>
      </c>
      <c r="G1182" s="2"/>
    </row>
    <row r="1183" spans="1:26" customHeight="1" ht="18" hidden="true" outlineLevel="3">
      <c r="A1183" s="2" t="s">
        <v>2215</v>
      </c>
      <c r="B1183" s="3" t="s">
        <v>2216</v>
      </c>
      <c r="C1183" s="2"/>
      <c r="D1183" s="2" t="s">
        <v>16</v>
      </c>
      <c r="E1183" s="4">
        <f>86.36*(1-Z1%)</f>
        <v>86.36</v>
      </c>
      <c r="F1183" s="2">
        <v>11</v>
      </c>
      <c r="G1183" s="2"/>
    </row>
    <row r="1184" spans="1:26" customHeight="1" ht="18" hidden="true" outlineLevel="3">
      <c r="A1184" s="2" t="s">
        <v>2217</v>
      </c>
      <c r="B1184" s="3" t="s">
        <v>2218</v>
      </c>
      <c r="C1184" s="2"/>
      <c r="D1184" s="2" t="s">
        <v>16</v>
      </c>
      <c r="E1184" s="4">
        <f>70.97*(1-Z1%)</f>
        <v>70.97</v>
      </c>
      <c r="F1184" s="2">
        <v>19</v>
      </c>
      <c r="G1184" s="2"/>
    </row>
    <row r="1185" spans="1:26" customHeight="1" ht="18" hidden="true" outlineLevel="3">
      <c r="A1185" s="2" t="s">
        <v>2219</v>
      </c>
      <c r="B1185" s="3" t="s">
        <v>2220</v>
      </c>
      <c r="C1185" s="2"/>
      <c r="D1185" s="2" t="s">
        <v>16</v>
      </c>
      <c r="E1185" s="4">
        <f>41.04*(1-Z1%)</f>
        <v>41.04</v>
      </c>
      <c r="F1185" s="2">
        <v>5</v>
      </c>
      <c r="G1185" s="2"/>
    </row>
    <row r="1186" spans="1:26" customHeight="1" ht="18" hidden="true" outlineLevel="3">
      <c r="A1186" s="2" t="s">
        <v>2221</v>
      </c>
      <c r="B1186" s="3" t="s">
        <v>2222</v>
      </c>
      <c r="C1186" s="2"/>
      <c r="D1186" s="2" t="s">
        <v>16</v>
      </c>
      <c r="E1186" s="4">
        <f>41.04*(1-Z1%)</f>
        <v>41.04</v>
      </c>
      <c r="F1186" s="2">
        <v>4</v>
      </c>
      <c r="G1186" s="2"/>
    </row>
    <row r="1187" spans="1:26" customHeight="1" ht="18" hidden="true" outlineLevel="3">
      <c r="A1187" s="2" t="s">
        <v>2223</v>
      </c>
      <c r="B1187" s="3" t="s">
        <v>2224</v>
      </c>
      <c r="C1187" s="2"/>
      <c r="D1187" s="2" t="s">
        <v>16</v>
      </c>
      <c r="E1187" s="4">
        <f>20.75*(1-Z1%)</f>
        <v>20.75</v>
      </c>
      <c r="F1187" s="2">
        <v>28</v>
      </c>
      <c r="G1187" s="2"/>
    </row>
    <row r="1188" spans="1:26" customHeight="1" ht="18" hidden="true" outlineLevel="3">
      <c r="A1188" s="2" t="s">
        <v>2225</v>
      </c>
      <c r="B1188" s="3" t="s">
        <v>2226</v>
      </c>
      <c r="C1188" s="2"/>
      <c r="D1188" s="2" t="s">
        <v>16</v>
      </c>
      <c r="E1188" s="4">
        <f>72.52*(1-Z1%)</f>
        <v>72.52</v>
      </c>
      <c r="F1188" s="2">
        <v>44</v>
      </c>
      <c r="G1188" s="2"/>
    </row>
    <row r="1189" spans="1:26" customHeight="1" ht="18" hidden="true" outlineLevel="3">
      <c r="A1189" s="2" t="s">
        <v>2227</v>
      </c>
      <c r="B1189" s="3" t="s">
        <v>2228</v>
      </c>
      <c r="C1189" s="2"/>
      <c r="D1189" s="2" t="s">
        <v>16</v>
      </c>
      <c r="E1189" s="4">
        <f>51.44*(1-Z1%)</f>
        <v>51.44</v>
      </c>
      <c r="F1189" s="2">
        <v>45</v>
      </c>
      <c r="G1189" s="2"/>
    </row>
    <row r="1190" spans="1:26" customHeight="1" ht="18" hidden="true" outlineLevel="3">
      <c r="A1190" s="2" t="s">
        <v>2229</v>
      </c>
      <c r="B1190" s="3" t="s">
        <v>2230</v>
      </c>
      <c r="C1190" s="2"/>
      <c r="D1190" s="2" t="s">
        <v>16</v>
      </c>
      <c r="E1190" s="4">
        <f>71.05*(1-Z1%)</f>
        <v>71.05</v>
      </c>
      <c r="F1190" s="2">
        <v>31</v>
      </c>
      <c r="G1190" s="2"/>
    </row>
    <row r="1191" spans="1:26" customHeight="1" ht="18" hidden="true" outlineLevel="3">
      <c r="A1191" s="2" t="s">
        <v>2231</v>
      </c>
      <c r="B1191" s="3" t="s">
        <v>2232</v>
      </c>
      <c r="C1191" s="2"/>
      <c r="D1191" s="2" t="s">
        <v>16</v>
      </c>
      <c r="E1191" s="4">
        <f>54.64*(1-Z1%)</f>
        <v>54.64</v>
      </c>
      <c r="F1191" s="2">
        <v>22</v>
      </c>
      <c r="G1191" s="2"/>
    </row>
    <row r="1192" spans="1:26" customHeight="1" ht="18" hidden="true" outlineLevel="3">
      <c r="A1192" s="2" t="s">
        <v>2233</v>
      </c>
      <c r="B1192" s="3" t="s">
        <v>2234</v>
      </c>
      <c r="C1192" s="2"/>
      <c r="D1192" s="2" t="s">
        <v>16</v>
      </c>
      <c r="E1192" s="4">
        <f>54.64*(1-Z1%)</f>
        <v>54.64</v>
      </c>
      <c r="F1192" s="2">
        <v>38</v>
      </c>
      <c r="G1192" s="2"/>
    </row>
    <row r="1193" spans="1:26" customHeight="1" ht="18" hidden="true" outlineLevel="3">
      <c r="A1193" s="2" t="s">
        <v>2235</v>
      </c>
      <c r="B1193" s="3" t="s">
        <v>2236</v>
      </c>
      <c r="C1193" s="2"/>
      <c r="D1193" s="2" t="s">
        <v>16</v>
      </c>
      <c r="E1193" s="4">
        <f>113.81*(1-Z1%)</f>
        <v>113.81</v>
      </c>
      <c r="F1193" s="2">
        <v>14</v>
      </c>
      <c r="G1193" s="2"/>
    </row>
    <row r="1194" spans="1:26" customHeight="1" ht="18" hidden="true" outlineLevel="3">
      <c r="A1194" s="2" t="s">
        <v>2237</v>
      </c>
      <c r="B1194" s="3" t="s">
        <v>2238</v>
      </c>
      <c r="C1194" s="2"/>
      <c r="D1194" s="2" t="s">
        <v>16</v>
      </c>
      <c r="E1194" s="4">
        <f>113.81*(1-Z1%)</f>
        <v>113.81</v>
      </c>
      <c r="F1194" s="2">
        <v>13</v>
      </c>
      <c r="G1194" s="2"/>
    </row>
    <row r="1195" spans="1:26" customHeight="1" ht="18" hidden="true" outlineLevel="3">
      <c r="A1195" s="2" t="s">
        <v>2239</v>
      </c>
      <c r="B1195" s="3" t="s">
        <v>2240</v>
      </c>
      <c r="C1195" s="2"/>
      <c r="D1195" s="2" t="s">
        <v>16</v>
      </c>
      <c r="E1195" s="4">
        <f>80.87*(1-Z1%)</f>
        <v>80.87</v>
      </c>
      <c r="F1195" s="2">
        <v>12</v>
      </c>
      <c r="G1195" s="2"/>
    </row>
    <row r="1196" spans="1:26" customHeight="1" ht="18" hidden="true" outlineLevel="3">
      <c r="A1196" s="2" t="s">
        <v>2241</v>
      </c>
      <c r="B1196" s="3" t="s">
        <v>2242</v>
      </c>
      <c r="C1196" s="2"/>
      <c r="D1196" s="2" t="s">
        <v>16</v>
      </c>
      <c r="E1196" s="4">
        <f>90.69*(1-Z1%)</f>
        <v>90.69</v>
      </c>
      <c r="F1196" s="2">
        <v>18</v>
      </c>
      <c r="G1196" s="2"/>
    </row>
    <row r="1197" spans="1:26" customHeight="1" ht="18" hidden="true" outlineLevel="3">
      <c r="A1197" s="2" t="s">
        <v>2243</v>
      </c>
      <c r="B1197" s="3" t="s">
        <v>2244</v>
      </c>
      <c r="C1197" s="2"/>
      <c r="D1197" s="2" t="s">
        <v>16</v>
      </c>
      <c r="E1197" s="4">
        <f>86.65*(1-Z1%)</f>
        <v>86.65</v>
      </c>
      <c r="F1197" s="2">
        <v>22</v>
      </c>
      <c r="G1197" s="2"/>
    </row>
    <row r="1198" spans="1:26" customHeight="1" ht="18" hidden="true" outlineLevel="3">
      <c r="A1198" s="2" t="s">
        <v>2245</v>
      </c>
      <c r="B1198" s="3" t="s">
        <v>2246</v>
      </c>
      <c r="C1198" s="2"/>
      <c r="D1198" s="2" t="s">
        <v>16</v>
      </c>
      <c r="E1198" s="4">
        <f>86.01*(1-Z1%)</f>
        <v>86.01</v>
      </c>
      <c r="F1198" s="2">
        <v>7</v>
      </c>
      <c r="G1198" s="2"/>
    </row>
    <row r="1199" spans="1:26" customHeight="1" ht="18" hidden="true" outlineLevel="3">
      <c r="A1199" s="2" t="s">
        <v>2247</v>
      </c>
      <c r="B1199" s="3" t="s">
        <v>2248</v>
      </c>
      <c r="C1199" s="2"/>
      <c r="D1199" s="2" t="s">
        <v>16</v>
      </c>
      <c r="E1199" s="4">
        <f>102.45*(1-Z1%)</f>
        <v>102.45</v>
      </c>
      <c r="F1199" s="2">
        <v>21</v>
      </c>
      <c r="G1199" s="2"/>
    </row>
    <row r="1200" spans="1:26" customHeight="1" ht="18" hidden="true" outlineLevel="3">
      <c r="A1200" s="2" t="s">
        <v>2249</v>
      </c>
      <c r="B1200" s="3" t="s">
        <v>2250</v>
      </c>
      <c r="C1200" s="2"/>
      <c r="D1200" s="2" t="s">
        <v>16</v>
      </c>
      <c r="E1200" s="4">
        <f>102.45*(1-Z1%)</f>
        <v>102.45</v>
      </c>
      <c r="F1200" s="2">
        <v>13</v>
      </c>
      <c r="G1200" s="2"/>
    </row>
    <row r="1201" spans="1:26" customHeight="1" ht="18" hidden="true" outlineLevel="3">
      <c r="A1201" s="2" t="s">
        <v>2251</v>
      </c>
      <c r="B1201" s="3" t="s">
        <v>2252</v>
      </c>
      <c r="C1201" s="2"/>
      <c r="D1201" s="2" t="s">
        <v>16</v>
      </c>
      <c r="E1201" s="4">
        <f>181.05*(1-Z1%)</f>
        <v>181.05</v>
      </c>
      <c r="F1201" s="2">
        <v>2</v>
      </c>
      <c r="G1201" s="2"/>
    </row>
    <row r="1202" spans="1:26" customHeight="1" ht="18" hidden="true" outlineLevel="3">
      <c r="A1202" s="2" t="s">
        <v>2253</v>
      </c>
      <c r="B1202" s="3" t="s">
        <v>2254</v>
      </c>
      <c r="C1202" s="2"/>
      <c r="D1202" s="2" t="s">
        <v>16</v>
      </c>
      <c r="E1202" s="4">
        <f>181.05*(1-Z1%)</f>
        <v>181.05</v>
      </c>
      <c r="F1202" s="2">
        <v>2</v>
      </c>
      <c r="G1202" s="2"/>
    </row>
    <row r="1203" spans="1:26" customHeight="1" ht="18" hidden="true" outlineLevel="3">
      <c r="A1203" s="2" t="s">
        <v>2255</v>
      </c>
      <c r="B1203" s="3" t="s">
        <v>2256</v>
      </c>
      <c r="C1203" s="2"/>
      <c r="D1203" s="2" t="s">
        <v>16</v>
      </c>
      <c r="E1203" s="4">
        <f>63.32*(1-Z1%)</f>
        <v>63.32</v>
      </c>
      <c r="F1203" s="2">
        <v>7</v>
      </c>
      <c r="G1203" s="2"/>
    </row>
    <row r="1204" spans="1:26" customHeight="1" ht="18" hidden="true" outlineLevel="3">
      <c r="A1204" s="2" t="s">
        <v>2257</v>
      </c>
      <c r="B1204" s="3" t="s">
        <v>2258</v>
      </c>
      <c r="C1204" s="2"/>
      <c r="D1204" s="2" t="s">
        <v>16</v>
      </c>
      <c r="E1204" s="4">
        <f>74.33*(1-Z1%)</f>
        <v>74.33</v>
      </c>
      <c r="F1204" s="2">
        <v>20</v>
      </c>
      <c r="G1204" s="2"/>
    </row>
    <row r="1205" spans="1:26" customHeight="1" ht="18" hidden="true" outlineLevel="3">
      <c r="A1205" s="2" t="s">
        <v>2259</v>
      </c>
      <c r="B1205" s="3" t="s">
        <v>2260</v>
      </c>
      <c r="C1205" s="2"/>
      <c r="D1205" s="2" t="s">
        <v>16</v>
      </c>
      <c r="E1205" s="4">
        <f>116.39*(1-Z1%)</f>
        <v>116.39</v>
      </c>
      <c r="F1205" s="2">
        <v>9</v>
      </c>
      <c r="G1205" s="2"/>
    </row>
    <row r="1206" spans="1:26" customHeight="1" ht="18" hidden="true" outlineLevel="3">
      <c r="A1206" s="2" t="s">
        <v>2261</v>
      </c>
      <c r="B1206" s="3" t="s">
        <v>2262</v>
      </c>
      <c r="C1206" s="2"/>
      <c r="D1206" s="2" t="s">
        <v>16</v>
      </c>
      <c r="E1206" s="4">
        <f>137.61*(1-Z1%)</f>
        <v>137.61</v>
      </c>
      <c r="F1206" s="2">
        <v>7</v>
      </c>
      <c r="G1206" s="2"/>
    </row>
    <row r="1207" spans="1:26" customHeight="1" ht="18" hidden="true" outlineLevel="3">
      <c r="A1207" s="2" t="s">
        <v>2263</v>
      </c>
      <c r="B1207" s="3" t="s">
        <v>2264</v>
      </c>
      <c r="C1207" s="2"/>
      <c r="D1207" s="2" t="s">
        <v>16</v>
      </c>
      <c r="E1207" s="4">
        <f>36.84*(1-Z1%)</f>
        <v>36.84</v>
      </c>
      <c r="F1207" s="2">
        <v>4</v>
      </c>
      <c r="G1207" s="2"/>
    </row>
    <row r="1208" spans="1:26" customHeight="1" ht="18" hidden="true" outlineLevel="3">
      <c r="A1208" s="2" t="s">
        <v>2265</v>
      </c>
      <c r="B1208" s="3" t="s">
        <v>2266</v>
      </c>
      <c r="C1208" s="2"/>
      <c r="D1208" s="2" t="s">
        <v>16</v>
      </c>
      <c r="E1208" s="4">
        <f>46.44*(1-Z1%)</f>
        <v>46.44</v>
      </c>
      <c r="F1208" s="2">
        <v>39</v>
      </c>
      <c r="G1208" s="2"/>
    </row>
    <row r="1209" spans="1:26" customHeight="1" ht="18" hidden="true" outlineLevel="3">
      <c r="A1209" s="2" t="s">
        <v>2267</v>
      </c>
      <c r="B1209" s="3" t="s">
        <v>2268</v>
      </c>
      <c r="C1209" s="2"/>
      <c r="D1209" s="2" t="s">
        <v>16</v>
      </c>
      <c r="E1209" s="4">
        <f>58.97*(1-Z1%)</f>
        <v>58.97</v>
      </c>
      <c r="F1209" s="2">
        <v>20</v>
      </c>
      <c r="G1209" s="2"/>
    </row>
    <row r="1210" spans="1:26" customHeight="1" ht="18" hidden="true" outlineLevel="3">
      <c r="A1210" s="2" t="s">
        <v>2269</v>
      </c>
      <c r="B1210" s="3" t="s">
        <v>2270</v>
      </c>
      <c r="C1210" s="2"/>
      <c r="D1210" s="2" t="s">
        <v>16</v>
      </c>
      <c r="E1210" s="4">
        <f>68.54*(1-Z1%)</f>
        <v>68.54</v>
      </c>
      <c r="F1210" s="2">
        <v>2</v>
      </c>
      <c r="G1210" s="2"/>
    </row>
    <row r="1211" spans="1:26" customHeight="1" ht="18" hidden="true" outlineLevel="3">
      <c r="A1211" s="2" t="s">
        <v>2271</v>
      </c>
      <c r="B1211" s="3" t="s">
        <v>2272</v>
      </c>
      <c r="C1211" s="2"/>
      <c r="D1211" s="2" t="s">
        <v>16</v>
      </c>
      <c r="E1211" s="4">
        <f>77.35*(1-Z1%)</f>
        <v>77.35</v>
      </c>
      <c r="F1211" s="2">
        <v>3</v>
      </c>
      <c r="G1211" s="2"/>
    </row>
    <row r="1212" spans="1:26" customHeight="1" ht="18" hidden="true" outlineLevel="3">
      <c r="A1212" s="2" t="s">
        <v>2273</v>
      </c>
      <c r="B1212" s="3" t="s">
        <v>2274</v>
      </c>
      <c r="C1212" s="2"/>
      <c r="D1212" s="2" t="s">
        <v>16</v>
      </c>
      <c r="E1212" s="4">
        <f>150.97*(1-Z1%)</f>
        <v>150.97</v>
      </c>
      <c r="F1212" s="2">
        <v>37</v>
      </c>
      <c r="G1212" s="2"/>
    </row>
    <row r="1213" spans="1:26" customHeight="1" ht="18" hidden="true" outlineLevel="3">
      <c r="A1213" s="2" t="s">
        <v>2275</v>
      </c>
      <c r="B1213" s="3" t="s">
        <v>2276</v>
      </c>
      <c r="C1213" s="2"/>
      <c r="D1213" s="2" t="s">
        <v>16</v>
      </c>
      <c r="E1213" s="4">
        <f>150.97*(1-Z1%)</f>
        <v>150.97</v>
      </c>
      <c r="F1213" s="2">
        <v>15</v>
      </c>
      <c r="G1213" s="2"/>
    </row>
    <row r="1214" spans="1:26" customHeight="1" ht="18" hidden="true" outlineLevel="3">
      <c r="A1214" s="2" t="s">
        <v>2277</v>
      </c>
      <c r="B1214" s="3" t="s">
        <v>2278</v>
      </c>
      <c r="C1214" s="2"/>
      <c r="D1214" s="2" t="s">
        <v>16</v>
      </c>
      <c r="E1214" s="4">
        <f>73.72*(1-Z1%)</f>
        <v>73.72</v>
      </c>
      <c r="F1214" s="2">
        <v>5</v>
      </c>
      <c r="G1214" s="2"/>
    </row>
    <row r="1215" spans="1:26" customHeight="1" ht="18" hidden="true" outlineLevel="3">
      <c r="A1215" s="2" t="s">
        <v>2279</v>
      </c>
      <c r="B1215" s="3" t="s">
        <v>2280</v>
      </c>
      <c r="C1215" s="2"/>
      <c r="D1215" s="2" t="s">
        <v>16</v>
      </c>
      <c r="E1215" s="4">
        <f>89.78*(1-Z1%)</f>
        <v>89.78</v>
      </c>
      <c r="F1215" s="2">
        <v>11</v>
      </c>
      <c r="G1215" s="2"/>
    </row>
    <row r="1216" spans="1:26" customHeight="1" ht="18" hidden="true" outlineLevel="3">
      <c r="A1216" s="2" t="s">
        <v>2281</v>
      </c>
      <c r="B1216" s="3" t="s">
        <v>2282</v>
      </c>
      <c r="C1216" s="2"/>
      <c r="D1216" s="2" t="s">
        <v>16</v>
      </c>
      <c r="E1216" s="4">
        <f>89.78*(1-Z1%)</f>
        <v>89.78</v>
      </c>
      <c r="F1216" s="2">
        <v>3</v>
      </c>
      <c r="G1216" s="2"/>
    </row>
    <row r="1217" spans="1:26" customHeight="1" ht="18" hidden="true" outlineLevel="3">
      <c r="A1217" s="2" t="s">
        <v>2283</v>
      </c>
      <c r="B1217" s="3" t="s">
        <v>2284</v>
      </c>
      <c r="C1217" s="2"/>
      <c r="D1217" s="2" t="s">
        <v>16</v>
      </c>
      <c r="E1217" s="4">
        <f>83.56*(1-Z1%)</f>
        <v>83.56</v>
      </c>
      <c r="F1217" s="2">
        <v>5</v>
      </c>
      <c r="G1217" s="2"/>
    </row>
    <row r="1218" spans="1:26" customHeight="1" ht="18" hidden="true" outlineLevel="3">
      <c r="A1218" s="2" t="s">
        <v>2285</v>
      </c>
      <c r="B1218" s="3" t="s">
        <v>2286</v>
      </c>
      <c r="C1218" s="2"/>
      <c r="D1218" s="2" t="s">
        <v>16</v>
      </c>
      <c r="E1218" s="4">
        <f>87.88*(1-Z1%)</f>
        <v>87.88</v>
      </c>
      <c r="F1218" s="2">
        <v>12</v>
      </c>
      <c r="G1218" s="2"/>
    </row>
    <row r="1219" spans="1:26" customHeight="1" ht="18" hidden="true" outlineLevel="3">
      <c r="A1219" s="2" t="s">
        <v>2287</v>
      </c>
      <c r="B1219" s="3" t="s">
        <v>2288</v>
      </c>
      <c r="C1219" s="2"/>
      <c r="D1219" s="2" t="s">
        <v>16</v>
      </c>
      <c r="E1219" s="4">
        <f>58.20*(1-Z1%)</f>
        <v>58.2</v>
      </c>
      <c r="F1219" s="2">
        <v>1</v>
      </c>
      <c r="G1219" s="2"/>
    </row>
    <row r="1220" spans="1:26" customHeight="1" ht="18" hidden="true" outlineLevel="3">
      <c r="A1220" s="2" t="s">
        <v>2289</v>
      </c>
      <c r="B1220" s="3" t="s">
        <v>2290</v>
      </c>
      <c r="C1220" s="2"/>
      <c r="D1220" s="2" t="s">
        <v>16</v>
      </c>
      <c r="E1220" s="4">
        <f>51.29*(1-Z1%)</f>
        <v>51.29</v>
      </c>
      <c r="F1220" s="2">
        <v>37</v>
      </c>
      <c r="G1220" s="2"/>
    </row>
    <row r="1221" spans="1:26" customHeight="1" ht="18" hidden="true" outlineLevel="3">
      <c r="A1221" s="2" t="s">
        <v>2291</v>
      </c>
      <c r="B1221" s="3" t="s">
        <v>2292</v>
      </c>
      <c r="C1221" s="2"/>
      <c r="D1221" s="2" t="s">
        <v>16</v>
      </c>
      <c r="E1221" s="4">
        <f>45.42*(1-Z1%)</f>
        <v>45.42</v>
      </c>
      <c r="F1221" s="2">
        <v>31</v>
      </c>
      <c r="G1221" s="2"/>
    </row>
    <row r="1222" spans="1:26" customHeight="1" ht="36" hidden="true" outlineLevel="3">
      <c r="A1222" s="2" t="s">
        <v>2293</v>
      </c>
      <c r="B1222" s="3" t="s">
        <v>2294</v>
      </c>
      <c r="C1222" s="2"/>
      <c r="D1222" s="2" t="s">
        <v>16</v>
      </c>
      <c r="E1222" s="4">
        <f>84.87*(1-Z1%)</f>
        <v>84.87</v>
      </c>
      <c r="F1222" s="2">
        <v>18</v>
      </c>
      <c r="G1222" s="2"/>
    </row>
    <row r="1223" spans="1:26" customHeight="1" ht="18" hidden="true" outlineLevel="3">
      <c r="A1223" s="2" t="s">
        <v>2295</v>
      </c>
      <c r="B1223" s="3" t="s">
        <v>2296</v>
      </c>
      <c r="C1223" s="2"/>
      <c r="D1223" s="2" t="s">
        <v>16</v>
      </c>
      <c r="E1223" s="4">
        <f>91.67*(1-Z1%)</f>
        <v>91.67</v>
      </c>
      <c r="F1223" s="2">
        <v>8</v>
      </c>
      <c r="G1223" s="2"/>
    </row>
    <row r="1224" spans="1:26" customHeight="1" ht="18" hidden="true" outlineLevel="3">
      <c r="A1224" s="2" t="s">
        <v>2297</v>
      </c>
      <c r="B1224" s="3" t="s">
        <v>2298</v>
      </c>
      <c r="C1224" s="2"/>
      <c r="D1224" s="2" t="s">
        <v>16</v>
      </c>
      <c r="E1224" s="4">
        <f>113.59*(1-Z1%)</f>
        <v>113.59</v>
      </c>
      <c r="F1224" s="2">
        <v>20</v>
      </c>
      <c r="G1224" s="2"/>
    </row>
    <row r="1225" spans="1:26" customHeight="1" ht="18" hidden="true" outlineLevel="3">
      <c r="A1225" s="2" t="s">
        <v>2299</v>
      </c>
      <c r="B1225" s="3" t="s">
        <v>2300</v>
      </c>
      <c r="C1225" s="2"/>
      <c r="D1225" s="2" t="s">
        <v>16</v>
      </c>
      <c r="E1225" s="4">
        <f>102.32*(1-Z1%)</f>
        <v>102.32</v>
      </c>
      <c r="F1225" s="2">
        <v>20</v>
      </c>
      <c r="G1225" s="2"/>
    </row>
    <row r="1226" spans="1:26" customHeight="1" ht="18" hidden="true" outlineLevel="3">
      <c r="A1226" s="2" t="s">
        <v>2301</v>
      </c>
      <c r="B1226" s="3" t="s">
        <v>2302</v>
      </c>
      <c r="C1226" s="2"/>
      <c r="D1226" s="2" t="s">
        <v>16</v>
      </c>
      <c r="E1226" s="4">
        <f>37.51*(1-Z1%)</f>
        <v>37.51</v>
      </c>
      <c r="F1226" s="2">
        <v>4</v>
      </c>
      <c r="G1226" s="2"/>
    </row>
    <row r="1227" spans="1:26" customHeight="1" ht="18" hidden="true" outlineLevel="3">
      <c r="A1227" s="2" t="s">
        <v>2303</v>
      </c>
      <c r="B1227" s="3" t="s">
        <v>2304</v>
      </c>
      <c r="C1227" s="2"/>
      <c r="D1227" s="2" t="s">
        <v>16</v>
      </c>
      <c r="E1227" s="4">
        <f>37.39*(1-Z1%)</f>
        <v>37.39</v>
      </c>
      <c r="F1227" s="2">
        <v>38</v>
      </c>
      <c r="G1227" s="2"/>
    </row>
    <row r="1228" spans="1:26" customHeight="1" ht="18" hidden="true" outlineLevel="3">
      <c r="A1228" s="2" t="s">
        <v>2305</v>
      </c>
      <c r="B1228" s="3" t="s">
        <v>2306</v>
      </c>
      <c r="C1228" s="2"/>
      <c r="D1228" s="2" t="s">
        <v>16</v>
      </c>
      <c r="E1228" s="4">
        <f>47.53*(1-Z1%)</f>
        <v>47.53</v>
      </c>
      <c r="F1228" s="2">
        <v>3</v>
      </c>
      <c r="G1228" s="2"/>
    </row>
    <row r="1229" spans="1:26" customHeight="1" ht="18" hidden="true" outlineLevel="3">
      <c r="A1229" s="2" t="s">
        <v>2307</v>
      </c>
      <c r="B1229" s="3" t="s">
        <v>2308</v>
      </c>
      <c r="C1229" s="2"/>
      <c r="D1229" s="2" t="s">
        <v>16</v>
      </c>
      <c r="E1229" s="4">
        <f>89.29*(1-Z1%)</f>
        <v>89.29</v>
      </c>
      <c r="F1229" s="2">
        <v>48</v>
      </c>
      <c r="G1229" s="2"/>
    </row>
    <row r="1230" spans="1:26" customHeight="1" ht="18" hidden="true" outlineLevel="3">
      <c r="A1230" s="2" t="s">
        <v>2309</v>
      </c>
      <c r="B1230" s="3" t="s">
        <v>2310</v>
      </c>
      <c r="C1230" s="2"/>
      <c r="D1230" s="2" t="s">
        <v>16</v>
      </c>
      <c r="E1230" s="4">
        <f>75.97*(1-Z1%)</f>
        <v>75.97</v>
      </c>
      <c r="F1230" s="2">
        <v>35</v>
      </c>
      <c r="G1230" s="2"/>
    </row>
    <row r="1231" spans="1:26" customHeight="1" ht="18" hidden="true" outlineLevel="3">
      <c r="A1231" s="2" t="s">
        <v>2311</v>
      </c>
      <c r="B1231" s="3" t="s">
        <v>2312</v>
      </c>
      <c r="C1231" s="2"/>
      <c r="D1231" s="2" t="s">
        <v>16</v>
      </c>
      <c r="E1231" s="4">
        <f>103.46*(1-Z1%)</f>
        <v>103.46</v>
      </c>
      <c r="F1231" s="2">
        <v>8</v>
      </c>
      <c r="G1231" s="2"/>
    </row>
    <row r="1232" spans="1:26" customHeight="1" ht="18" hidden="true" outlineLevel="3">
      <c r="A1232" s="2" t="s">
        <v>2313</v>
      </c>
      <c r="B1232" s="3" t="s">
        <v>2314</v>
      </c>
      <c r="C1232" s="2"/>
      <c r="D1232" s="2" t="s">
        <v>16</v>
      </c>
      <c r="E1232" s="4">
        <f>36.54*(1-Z1%)</f>
        <v>36.54</v>
      </c>
      <c r="F1232" s="2">
        <v>180</v>
      </c>
      <c r="G1232" s="2"/>
    </row>
    <row r="1233" spans="1:26" customHeight="1" ht="18" hidden="true" outlineLevel="3">
      <c r="A1233" s="2" t="s">
        <v>2315</v>
      </c>
      <c r="B1233" s="3" t="s">
        <v>2316</v>
      </c>
      <c r="C1233" s="2"/>
      <c r="D1233" s="2" t="s">
        <v>16</v>
      </c>
      <c r="E1233" s="4">
        <f>44.08*(1-Z1%)</f>
        <v>44.08</v>
      </c>
      <c r="F1233" s="2">
        <v>8</v>
      </c>
      <c r="G1233" s="2"/>
    </row>
    <row r="1234" spans="1:26" customHeight="1" ht="18" hidden="true" outlineLevel="3">
      <c r="A1234" s="2" t="s">
        <v>2317</v>
      </c>
      <c r="B1234" s="3" t="s">
        <v>2318</v>
      </c>
      <c r="C1234" s="2"/>
      <c r="D1234" s="2" t="s">
        <v>16</v>
      </c>
      <c r="E1234" s="4">
        <f>67.84*(1-Z1%)</f>
        <v>67.84</v>
      </c>
      <c r="F1234" s="2">
        <v>5</v>
      </c>
      <c r="G1234" s="2"/>
    </row>
    <row r="1235" spans="1:26" customHeight="1" ht="35" hidden="true" outlineLevel="3">
      <c r="A1235" s="5" t="s">
        <v>2319</v>
      </c>
      <c r="B1235" s="5"/>
      <c r="C1235" s="5"/>
      <c r="D1235" s="5"/>
      <c r="E1235" s="5"/>
      <c r="F1235" s="5"/>
      <c r="G1235" s="5"/>
    </row>
    <row r="1236" spans="1:26" customHeight="1" ht="36" hidden="true" outlineLevel="3">
      <c r="A1236" s="2" t="s">
        <v>2320</v>
      </c>
      <c r="B1236" s="3" t="s">
        <v>2321</v>
      </c>
      <c r="C1236" s="2"/>
      <c r="D1236" s="2" t="s">
        <v>16</v>
      </c>
      <c r="E1236" s="4">
        <f>80.84*(1-Z1%)</f>
        <v>80.84</v>
      </c>
      <c r="F1236" s="2">
        <v>2</v>
      </c>
      <c r="G1236" s="2"/>
    </row>
    <row r="1237" spans="1:26" customHeight="1" ht="36" hidden="true" outlineLevel="3">
      <c r="A1237" s="2" t="s">
        <v>2322</v>
      </c>
      <c r="B1237" s="3" t="s">
        <v>2323</v>
      </c>
      <c r="C1237" s="2"/>
      <c r="D1237" s="2" t="s">
        <v>16</v>
      </c>
      <c r="E1237" s="4">
        <f>77.12*(1-Z1%)</f>
        <v>77.12</v>
      </c>
      <c r="F1237" s="2">
        <v>2</v>
      </c>
      <c r="G1237" s="2"/>
    </row>
    <row r="1238" spans="1:26" customHeight="1" ht="36" hidden="true" outlineLevel="3">
      <c r="A1238" s="2" t="s">
        <v>2324</v>
      </c>
      <c r="B1238" s="3" t="s">
        <v>2325</v>
      </c>
      <c r="C1238" s="2"/>
      <c r="D1238" s="2" t="s">
        <v>16</v>
      </c>
      <c r="E1238" s="4">
        <f>77.12*(1-Z1%)</f>
        <v>77.12</v>
      </c>
      <c r="F1238" s="2">
        <v>5</v>
      </c>
      <c r="G1238" s="2"/>
    </row>
    <row r="1239" spans="1:26" customHeight="1" ht="36" hidden="true" outlineLevel="3">
      <c r="A1239" s="2" t="s">
        <v>2326</v>
      </c>
      <c r="B1239" s="3" t="s">
        <v>2327</v>
      </c>
      <c r="C1239" s="2"/>
      <c r="D1239" s="2" t="s">
        <v>16</v>
      </c>
      <c r="E1239" s="4">
        <f>63.95*(1-Z1%)</f>
        <v>63.95</v>
      </c>
      <c r="F1239" s="2">
        <v>3</v>
      </c>
      <c r="G1239" s="2"/>
    </row>
    <row r="1240" spans="1:26" customHeight="1" ht="18" hidden="true" outlineLevel="3">
      <c r="A1240" s="2" t="s">
        <v>2328</v>
      </c>
      <c r="B1240" s="3" t="s">
        <v>2329</v>
      </c>
      <c r="C1240" s="2"/>
      <c r="D1240" s="2" t="s">
        <v>16</v>
      </c>
      <c r="E1240" s="4">
        <f>78.08*(1-Z1%)</f>
        <v>78.08</v>
      </c>
      <c r="F1240" s="2">
        <v>22</v>
      </c>
      <c r="G1240" s="2"/>
    </row>
    <row r="1241" spans="1:26" customHeight="1" ht="18" hidden="true" outlineLevel="3">
      <c r="A1241" s="2" t="s">
        <v>2330</v>
      </c>
      <c r="B1241" s="3" t="s">
        <v>2331</v>
      </c>
      <c r="C1241" s="2"/>
      <c r="D1241" s="2" t="s">
        <v>16</v>
      </c>
      <c r="E1241" s="4">
        <f>69.24*(1-Z1%)</f>
        <v>69.24</v>
      </c>
      <c r="F1241" s="2">
        <v>25</v>
      </c>
      <c r="G1241" s="2"/>
    </row>
    <row r="1242" spans="1:26" customHeight="1" ht="18" hidden="true" outlineLevel="3">
      <c r="A1242" s="2" t="s">
        <v>2332</v>
      </c>
      <c r="B1242" s="3" t="s">
        <v>2333</v>
      </c>
      <c r="C1242" s="2"/>
      <c r="D1242" s="2" t="s">
        <v>16</v>
      </c>
      <c r="E1242" s="4">
        <f>65.96*(1-Z1%)</f>
        <v>65.96</v>
      </c>
      <c r="F1242" s="2">
        <v>1</v>
      </c>
      <c r="G1242" s="2"/>
    </row>
    <row r="1243" spans="1:26" customHeight="1" ht="18" hidden="true" outlineLevel="3">
      <c r="A1243" s="2" t="s">
        <v>2334</v>
      </c>
      <c r="B1243" s="3" t="s">
        <v>2335</v>
      </c>
      <c r="C1243" s="2"/>
      <c r="D1243" s="2" t="s">
        <v>16</v>
      </c>
      <c r="E1243" s="4">
        <f>78.54*(1-Z1%)</f>
        <v>78.54</v>
      </c>
      <c r="F1243" s="2">
        <v>3</v>
      </c>
      <c r="G1243" s="2"/>
    </row>
    <row r="1244" spans="1:26" customHeight="1" ht="18" hidden="true" outlineLevel="3">
      <c r="A1244" s="2" t="s">
        <v>2336</v>
      </c>
      <c r="B1244" s="3" t="s">
        <v>2337</v>
      </c>
      <c r="C1244" s="2"/>
      <c r="D1244" s="2" t="s">
        <v>16</v>
      </c>
      <c r="E1244" s="4">
        <f>68.80*(1-Z1%)</f>
        <v>68.8</v>
      </c>
      <c r="F1244" s="2">
        <v>27</v>
      </c>
      <c r="G1244" s="2"/>
    </row>
    <row r="1245" spans="1:26" customHeight="1" ht="36" hidden="true" outlineLevel="3">
      <c r="A1245" s="2" t="s">
        <v>2338</v>
      </c>
      <c r="B1245" s="3" t="s">
        <v>2339</v>
      </c>
      <c r="C1245" s="2"/>
      <c r="D1245" s="2" t="s">
        <v>16</v>
      </c>
      <c r="E1245" s="4">
        <f>98.21*(1-Z1%)</f>
        <v>98.21</v>
      </c>
      <c r="F1245" s="2">
        <v>6</v>
      </c>
      <c r="G1245" s="2"/>
    </row>
    <row r="1246" spans="1:26" customHeight="1" ht="36" hidden="true" outlineLevel="3">
      <c r="A1246" s="2" t="s">
        <v>2340</v>
      </c>
      <c r="B1246" s="3" t="s">
        <v>2341</v>
      </c>
      <c r="C1246" s="2"/>
      <c r="D1246" s="2" t="s">
        <v>16</v>
      </c>
      <c r="E1246" s="4">
        <f>75.83*(1-Z1%)</f>
        <v>75.83</v>
      </c>
      <c r="F1246" s="2">
        <v>18</v>
      </c>
      <c r="G1246" s="2"/>
    </row>
    <row r="1247" spans="1:26" customHeight="1" ht="18" hidden="true" outlineLevel="3">
      <c r="A1247" s="2" t="s">
        <v>2342</v>
      </c>
      <c r="B1247" s="3" t="s">
        <v>2343</v>
      </c>
      <c r="C1247" s="2"/>
      <c r="D1247" s="2" t="s">
        <v>16</v>
      </c>
      <c r="E1247" s="4">
        <f>93.65*(1-Z1%)</f>
        <v>93.65</v>
      </c>
      <c r="F1247" s="2">
        <v>15</v>
      </c>
      <c r="G1247" s="2"/>
    </row>
    <row r="1248" spans="1:26" customHeight="1" ht="18" hidden="true" outlineLevel="3">
      <c r="A1248" s="2" t="s">
        <v>2344</v>
      </c>
      <c r="B1248" s="3" t="s">
        <v>2345</v>
      </c>
      <c r="C1248" s="2"/>
      <c r="D1248" s="2" t="s">
        <v>16</v>
      </c>
      <c r="E1248" s="4">
        <f>95.54*(1-Z1%)</f>
        <v>95.54</v>
      </c>
      <c r="F1248" s="2">
        <v>3</v>
      </c>
      <c r="G1248" s="2"/>
    </row>
    <row r="1249" spans="1:26" customHeight="1" ht="18" hidden="true" outlineLevel="3">
      <c r="A1249" s="2" t="s">
        <v>2346</v>
      </c>
      <c r="B1249" s="3" t="s">
        <v>2347</v>
      </c>
      <c r="C1249" s="2"/>
      <c r="D1249" s="2" t="s">
        <v>16</v>
      </c>
      <c r="E1249" s="4">
        <f>95.54*(1-Z1%)</f>
        <v>95.54</v>
      </c>
      <c r="F1249" s="2">
        <v>12</v>
      </c>
      <c r="G1249" s="2"/>
    </row>
    <row r="1250" spans="1:26" customHeight="1" ht="18" hidden="true" outlineLevel="3">
      <c r="A1250" s="2" t="s">
        <v>2348</v>
      </c>
      <c r="B1250" s="3" t="s">
        <v>2349</v>
      </c>
      <c r="C1250" s="2"/>
      <c r="D1250" s="2" t="s">
        <v>16</v>
      </c>
      <c r="E1250" s="4">
        <f>150.58*(1-Z1%)</f>
        <v>150.58</v>
      </c>
      <c r="F1250" s="2">
        <v>3</v>
      </c>
      <c r="G1250" s="2"/>
    </row>
    <row r="1251" spans="1:26" customHeight="1" ht="18" hidden="true" outlineLevel="3">
      <c r="A1251" s="2" t="s">
        <v>2350</v>
      </c>
      <c r="B1251" s="3" t="s">
        <v>2351</v>
      </c>
      <c r="C1251" s="2"/>
      <c r="D1251" s="2" t="s">
        <v>16</v>
      </c>
      <c r="E1251" s="4">
        <f>156.32*(1-Z1%)</f>
        <v>156.32</v>
      </c>
      <c r="F1251" s="2">
        <v>37</v>
      </c>
      <c r="G1251" s="2"/>
    </row>
    <row r="1252" spans="1:26" customHeight="1" ht="18" hidden="true" outlineLevel="3">
      <c r="A1252" s="2" t="s">
        <v>2352</v>
      </c>
      <c r="B1252" s="3" t="s">
        <v>2353</v>
      </c>
      <c r="C1252" s="2"/>
      <c r="D1252" s="2" t="s">
        <v>16</v>
      </c>
      <c r="E1252" s="4">
        <f>126.62*(1-Z1%)</f>
        <v>126.62</v>
      </c>
      <c r="F1252" s="2">
        <v>15</v>
      </c>
      <c r="G1252" s="2"/>
    </row>
    <row r="1253" spans="1:26" customHeight="1" ht="18" hidden="true" outlineLevel="3">
      <c r="A1253" s="2" t="s">
        <v>2354</v>
      </c>
      <c r="B1253" s="3" t="s">
        <v>2355</v>
      </c>
      <c r="C1253" s="2"/>
      <c r="D1253" s="2" t="s">
        <v>16</v>
      </c>
      <c r="E1253" s="4">
        <f>69.44*(1-Z1%)</f>
        <v>69.44</v>
      </c>
      <c r="F1253" s="2">
        <v>40</v>
      </c>
      <c r="G1253" s="2"/>
    </row>
    <row r="1254" spans="1:26" customHeight="1" ht="18" hidden="true" outlineLevel="3">
      <c r="A1254" s="2" t="s">
        <v>2356</v>
      </c>
      <c r="B1254" s="3" t="s">
        <v>2357</v>
      </c>
      <c r="C1254" s="2"/>
      <c r="D1254" s="2" t="s">
        <v>16</v>
      </c>
      <c r="E1254" s="4">
        <f>69.07*(1-Z1%)</f>
        <v>69.07</v>
      </c>
      <c r="F1254" s="2">
        <v>52</v>
      </c>
      <c r="G1254" s="2"/>
    </row>
    <row r="1255" spans="1:26" customHeight="1" ht="18" hidden="true" outlineLevel="3">
      <c r="A1255" s="2" t="s">
        <v>2358</v>
      </c>
      <c r="B1255" s="3" t="s">
        <v>2359</v>
      </c>
      <c r="C1255" s="2"/>
      <c r="D1255" s="2" t="s">
        <v>16</v>
      </c>
      <c r="E1255" s="4">
        <f>69.07*(1-Z1%)</f>
        <v>69.07</v>
      </c>
      <c r="F1255" s="2">
        <v>35</v>
      </c>
      <c r="G1255" s="2"/>
    </row>
    <row r="1256" spans="1:26" customHeight="1" ht="18" hidden="true" outlineLevel="3">
      <c r="A1256" s="2" t="s">
        <v>2360</v>
      </c>
      <c r="B1256" s="3" t="s">
        <v>2361</v>
      </c>
      <c r="C1256" s="2"/>
      <c r="D1256" s="2" t="s">
        <v>16</v>
      </c>
      <c r="E1256" s="4">
        <f>69.98*(1-Z1%)</f>
        <v>69.98</v>
      </c>
      <c r="F1256" s="2">
        <v>4</v>
      </c>
      <c r="G1256" s="2"/>
    </row>
    <row r="1257" spans="1:26" customHeight="1" ht="18" hidden="true" outlineLevel="3">
      <c r="A1257" s="2" t="s">
        <v>2362</v>
      </c>
      <c r="B1257" s="3" t="s">
        <v>2363</v>
      </c>
      <c r="C1257" s="2"/>
      <c r="D1257" s="2" t="s">
        <v>16</v>
      </c>
      <c r="E1257" s="4">
        <f>69.98*(1-Z1%)</f>
        <v>69.98</v>
      </c>
      <c r="F1257" s="2">
        <v>10</v>
      </c>
      <c r="G1257" s="2"/>
    </row>
    <row r="1258" spans="1:26" customHeight="1" ht="18" hidden="true" outlineLevel="3">
      <c r="A1258" s="2" t="s">
        <v>2364</v>
      </c>
      <c r="B1258" s="3" t="s">
        <v>2365</v>
      </c>
      <c r="C1258" s="2"/>
      <c r="D1258" s="2" t="s">
        <v>16</v>
      </c>
      <c r="E1258" s="4">
        <f>130.12*(1-Z1%)</f>
        <v>130.12</v>
      </c>
      <c r="F1258" s="2">
        <v>8</v>
      </c>
      <c r="G1258" s="2"/>
    </row>
    <row r="1259" spans="1:26" customHeight="1" ht="18" hidden="true" outlineLevel="3">
      <c r="A1259" s="2" t="s">
        <v>2366</v>
      </c>
      <c r="B1259" s="3" t="s">
        <v>2367</v>
      </c>
      <c r="C1259" s="2"/>
      <c r="D1259" s="2" t="s">
        <v>16</v>
      </c>
      <c r="E1259" s="4">
        <f>130.12*(1-Z1%)</f>
        <v>130.12</v>
      </c>
      <c r="F1259" s="2">
        <v>1</v>
      </c>
      <c r="G1259" s="2"/>
    </row>
    <row r="1260" spans="1:26" customHeight="1" ht="18" hidden="true" outlineLevel="3">
      <c r="A1260" s="2" t="s">
        <v>2368</v>
      </c>
      <c r="B1260" s="3" t="s">
        <v>2369</v>
      </c>
      <c r="C1260" s="2"/>
      <c r="D1260" s="2" t="s">
        <v>16</v>
      </c>
      <c r="E1260" s="4">
        <f>106.04*(1-Z1%)</f>
        <v>106.04</v>
      </c>
      <c r="F1260" s="2">
        <v>13</v>
      </c>
      <c r="G1260" s="2"/>
    </row>
    <row r="1261" spans="1:26" customHeight="1" ht="18" hidden="true" outlineLevel="3">
      <c r="A1261" s="2" t="s">
        <v>2370</v>
      </c>
      <c r="B1261" s="3" t="s">
        <v>2371</v>
      </c>
      <c r="C1261" s="2"/>
      <c r="D1261" s="2" t="s">
        <v>16</v>
      </c>
      <c r="E1261" s="4">
        <f>80.78*(1-Z1%)</f>
        <v>80.78</v>
      </c>
      <c r="F1261" s="2">
        <v>8</v>
      </c>
      <c r="G1261" s="2"/>
    </row>
    <row r="1262" spans="1:26" customHeight="1" ht="18" hidden="true" outlineLevel="3">
      <c r="A1262" s="2" t="s">
        <v>2372</v>
      </c>
      <c r="B1262" s="3" t="s">
        <v>2373</v>
      </c>
      <c r="C1262" s="2"/>
      <c r="D1262" s="2" t="s">
        <v>16</v>
      </c>
      <c r="E1262" s="4">
        <f>67.32*(1-Z1%)</f>
        <v>67.32</v>
      </c>
      <c r="F1262" s="2">
        <v>5</v>
      </c>
      <c r="G1262" s="2"/>
    </row>
    <row r="1263" spans="1:26" customHeight="1" ht="18" hidden="true" outlineLevel="3">
      <c r="A1263" s="2" t="s">
        <v>2374</v>
      </c>
      <c r="B1263" s="3" t="s">
        <v>2375</v>
      </c>
      <c r="C1263" s="2"/>
      <c r="D1263" s="2" t="s">
        <v>16</v>
      </c>
      <c r="E1263" s="4">
        <f>63.37*(1-Z1%)</f>
        <v>63.37</v>
      </c>
      <c r="F1263" s="2">
        <v>19</v>
      </c>
      <c r="G1263" s="2"/>
    </row>
    <row r="1264" spans="1:26" customHeight="1" ht="18" hidden="true" outlineLevel="3">
      <c r="A1264" s="2" t="s">
        <v>2376</v>
      </c>
      <c r="B1264" s="3" t="s">
        <v>2377</v>
      </c>
      <c r="C1264" s="2"/>
      <c r="D1264" s="2" t="s">
        <v>16</v>
      </c>
      <c r="E1264" s="4">
        <f>74.70*(1-Z1%)</f>
        <v>74.7</v>
      </c>
      <c r="F1264" s="2">
        <v>4</v>
      </c>
      <c r="G1264" s="2"/>
    </row>
    <row r="1265" spans="1:26" customHeight="1" ht="18" hidden="true" outlineLevel="3">
      <c r="A1265" s="2" t="s">
        <v>2378</v>
      </c>
      <c r="B1265" s="3" t="s">
        <v>2379</v>
      </c>
      <c r="C1265" s="2"/>
      <c r="D1265" s="2" t="s">
        <v>16</v>
      </c>
      <c r="E1265" s="4">
        <f>105.67*(1-Z1%)</f>
        <v>105.67</v>
      </c>
      <c r="F1265" s="2">
        <v>19</v>
      </c>
      <c r="G1265" s="2"/>
    </row>
    <row r="1266" spans="1:26" customHeight="1" ht="18" hidden="true" outlineLevel="3">
      <c r="A1266" s="2" t="s">
        <v>2380</v>
      </c>
      <c r="B1266" s="3" t="s">
        <v>2381</v>
      </c>
      <c r="C1266" s="2"/>
      <c r="D1266" s="2" t="s">
        <v>16</v>
      </c>
      <c r="E1266" s="4">
        <f>86.33*(1-Z1%)</f>
        <v>86.33</v>
      </c>
      <c r="F1266" s="2">
        <v>26</v>
      </c>
      <c r="G1266" s="2"/>
    </row>
    <row r="1267" spans="1:26" customHeight="1" ht="18" hidden="true" outlineLevel="3">
      <c r="A1267" s="2" t="s">
        <v>2382</v>
      </c>
      <c r="B1267" s="3" t="s">
        <v>2383</v>
      </c>
      <c r="C1267" s="2"/>
      <c r="D1267" s="2" t="s">
        <v>16</v>
      </c>
      <c r="E1267" s="4">
        <f>64.46*(1-Z1%)</f>
        <v>64.46</v>
      </c>
      <c r="F1267" s="2">
        <v>7</v>
      </c>
      <c r="G1267" s="2"/>
    </row>
    <row r="1268" spans="1:26" customHeight="1" ht="18" hidden="true" outlineLevel="3">
      <c r="A1268" s="2" t="s">
        <v>2384</v>
      </c>
      <c r="B1268" s="3" t="s">
        <v>2385</v>
      </c>
      <c r="C1268" s="2"/>
      <c r="D1268" s="2" t="s">
        <v>16</v>
      </c>
      <c r="E1268" s="4">
        <f>64.46*(1-Z1%)</f>
        <v>64.46</v>
      </c>
      <c r="F1268" s="2">
        <v>17</v>
      </c>
      <c r="G1268" s="2"/>
    </row>
    <row r="1269" spans="1:26" customHeight="1" ht="18" hidden="true" outlineLevel="3">
      <c r="A1269" s="2" t="s">
        <v>2386</v>
      </c>
      <c r="B1269" s="3" t="s">
        <v>2387</v>
      </c>
      <c r="C1269" s="2"/>
      <c r="D1269" s="2" t="s">
        <v>16</v>
      </c>
      <c r="E1269" s="4">
        <f>109.93*(1-Z1%)</f>
        <v>109.93</v>
      </c>
      <c r="F1269" s="2">
        <v>2</v>
      </c>
      <c r="G1269" s="2"/>
    </row>
    <row r="1270" spans="1:26" customHeight="1" ht="18" hidden="true" outlineLevel="3">
      <c r="A1270" s="2" t="s">
        <v>2388</v>
      </c>
      <c r="B1270" s="3" t="s">
        <v>2389</v>
      </c>
      <c r="C1270" s="2"/>
      <c r="D1270" s="2" t="s">
        <v>16</v>
      </c>
      <c r="E1270" s="4">
        <f>69.16*(1-Z1%)</f>
        <v>69.16</v>
      </c>
      <c r="F1270" s="2">
        <v>16</v>
      </c>
      <c r="G1270" s="2"/>
    </row>
    <row r="1271" spans="1:26" customHeight="1" ht="18" hidden="true" outlineLevel="3">
      <c r="A1271" s="2" t="s">
        <v>2390</v>
      </c>
      <c r="B1271" s="3" t="s">
        <v>2391</v>
      </c>
      <c r="C1271" s="2"/>
      <c r="D1271" s="2" t="s">
        <v>16</v>
      </c>
      <c r="E1271" s="4">
        <f>76.19*(1-Z1%)</f>
        <v>76.19</v>
      </c>
      <c r="F1271" s="2">
        <v>4</v>
      </c>
      <c r="G1271" s="2"/>
    </row>
    <row r="1272" spans="1:26" customHeight="1" ht="18" hidden="true" outlineLevel="3">
      <c r="A1272" s="2" t="s">
        <v>2392</v>
      </c>
      <c r="B1272" s="3" t="s">
        <v>2393</v>
      </c>
      <c r="C1272" s="2"/>
      <c r="D1272" s="2" t="s">
        <v>16</v>
      </c>
      <c r="E1272" s="4">
        <f>102.67*(1-Z1%)</f>
        <v>102.67</v>
      </c>
      <c r="F1272" s="2">
        <v>8</v>
      </c>
      <c r="G1272" s="2"/>
    </row>
    <row r="1273" spans="1:26" customHeight="1" ht="18" hidden="true" outlineLevel="3">
      <c r="A1273" s="2" t="s">
        <v>2394</v>
      </c>
      <c r="B1273" s="3" t="s">
        <v>2395</v>
      </c>
      <c r="C1273" s="2"/>
      <c r="D1273" s="2" t="s">
        <v>16</v>
      </c>
      <c r="E1273" s="4">
        <f>105.56*(1-Z1%)</f>
        <v>105.56</v>
      </c>
      <c r="F1273" s="2">
        <v>9</v>
      </c>
      <c r="G1273" s="2"/>
    </row>
    <row r="1274" spans="1:26" customHeight="1" ht="18" hidden="true" outlineLevel="3">
      <c r="A1274" s="2" t="s">
        <v>2396</v>
      </c>
      <c r="B1274" s="3" t="s">
        <v>2397</v>
      </c>
      <c r="C1274" s="2"/>
      <c r="D1274" s="2" t="s">
        <v>16</v>
      </c>
      <c r="E1274" s="4">
        <f>72.76*(1-Z1%)</f>
        <v>72.76</v>
      </c>
      <c r="F1274" s="2">
        <v>20</v>
      </c>
      <c r="G1274" s="2"/>
    </row>
    <row r="1275" spans="1:26" customHeight="1" ht="18" hidden="true" outlineLevel="3">
      <c r="A1275" s="2" t="s">
        <v>2398</v>
      </c>
      <c r="B1275" s="3" t="s">
        <v>2399</v>
      </c>
      <c r="C1275" s="2"/>
      <c r="D1275" s="2" t="s">
        <v>16</v>
      </c>
      <c r="E1275" s="4">
        <f>72.76*(1-Z1%)</f>
        <v>72.76</v>
      </c>
      <c r="F1275" s="2">
        <v>17</v>
      </c>
      <c r="G1275" s="2"/>
    </row>
    <row r="1276" spans="1:26" customHeight="1" ht="18" hidden="true" outlineLevel="3">
      <c r="A1276" s="2" t="s">
        <v>2400</v>
      </c>
      <c r="B1276" s="3" t="s">
        <v>2401</v>
      </c>
      <c r="C1276" s="2"/>
      <c r="D1276" s="2" t="s">
        <v>16</v>
      </c>
      <c r="E1276" s="4">
        <f>61.80*(1-Z1%)</f>
        <v>61.8</v>
      </c>
      <c r="F1276" s="2">
        <v>4</v>
      </c>
      <c r="G1276" s="2"/>
    </row>
    <row r="1277" spans="1:26" customHeight="1" ht="18" hidden="true" outlineLevel="3">
      <c r="A1277" s="2" t="s">
        <v>2402</v>
      </c>
      <c r="B1277" s="3" t="s">
        <v>2403</v>
      </c>
      <c r="C1277" s="2"/>
      <c r="D1277" s="2" t="s">
        <v>16</v>
      </c>
      <c r="E1277" s="4">
        <f>65.84*(1-Z1%)</f>
        <v>65.84</v>
      </c>
      <c r="F1277" s="2">
        <v>25</v>
      </c>
      <c r="G1277" s="2"/>
    </row>
    <row r="1278" spans="1:26" customHeight="1" ht="18" hidden="true" outlineLevel="3">
      <c r="A1278" s="2" t="s">
        <v>2404</v>
      </c>
      <c r="B1278" s="3" t="s">
        <v>2405</v>
      </c>
      <c r="C1278" s="2"/>
      <c r="D1278" s="2" t="s">
        <v>16</v>
      </c>
      <c r="E1278" s="4">
        <f>94.33*(1-Z1%)</f>
        <v>94.33</v>
      </c>
      <c r="F1278" s="2">
        <v>1</v>
      </c>
      <c r="G1278" s="2"/>
    </row>
    <row r="1279" spans="1:26" customHeight="1" ht="18" hidden="true" outlineLevel="3">
      <c r="A1279" s="2" t="s">
        <v>2406</v>
      </c>
      <c r="B1279" s="3" t="s">
        <v>2407</v>
      </c>
      <c r="C1279" s="2"/>
      <c r="D1279" s="2" t="s">
        <v>16</v>
      </c>
      <c r="E1279" s="4">
        <f>100.22*(1-Z1%)</f>
        <v>100.22</v>
      </c>
      <c r="F1279" s="2">
        <v>19</v>
      </c>
      <c r="G1279" s="2"/>
    </row>
    <row r="1280" spans="1:26" customHeight="1" ht="18" hidden="true" outlineLevel="3">
      <c r="A1280" s="2" t="s">
        <v>2408</v>
      </c>
      <c r="B1280" s="3" t="s">
        <v>2409</v>
      </c>
      <c r="C1280" s="2"/>
      <c r="D1280" s="2" t="s">
        <v>16</v>
      </c>
      <c r="E1280" s="4">
        <f>79.68*(1-Z1%)</f>
        <v>79.68</v>
      </c>
      <c r="F1280" s="2">
        <v>10</v>
      </c>
      <c r="G1280" s="2"/>
    </row>
    <row r="1281" spans="1:26" customHeight="1" ht="18" hidden="true" outlineLevel="3">
      <c r="A1281" s="2" t="s">
        <v>2410</v>
      </c>
      <c r="B1281" s="3" t="s">
        <v>2411</v>
      </c>
      <c r="C1281" s="2"/>
      <c r="D1281" s="2" t="s">
        <v>16</v>
      </c>
      <c r="E1281" s="4">
        <f>86.55*(1-Z1%)</f>
        <v>86.55</v>
      </c>
      <c r="F1281" s="2">
        <v>20</v>
      </c>
      <c r="G1281" s="2"/>
    </row>
    <row r="1282" spans="1:26" customHeight="1" ht="18" hidden="true" outlineLevel="3">
      <c r="A1282" s="2" t="s">
        <v>2412</v>
      </c>
      <c r="B1282" s="3" t="s">
        <v>2413</v>
      </c>
      <c r="C1282" s="2"/>
      <c r="D1282" s="2" t="s">
        <v>16</v>
      </c>
      <c r="E1282" s="4">
        <f>86.55*(1-Z1%)</f>
        <v>86.55</v>
      </c>
      <c r="F1282" s="2">
        <v>6</v>
      </c>
      <c r="G1282" s="2"/>
    </row>
    <row r="1283" spans="1:26" customHeight="1" ht="18" hidden="true" outlineLevel="3">
      <c r="A1283" s="2" t="s">
        <v>2414</v>
      </c>
      <c r="B1283" s="3" t="s">
        <v>2415</v>
      </c>
      <c r="C1283" s="2"/>
      <c r="D1283" s="2" t="s">
        <v>16</v>
      </c>
      <c r="E1283" s="4">
        <f>86.55*(1-Z1%)</f>
        <v>86.55</v>
      </c>
      <c r="F1283" s="2">
        <v>5</v>
      </c>
      <c r="G1283" s="2"/>
    </row>
    <row r="1284" spans="1:26" customHeight="1" ht="18" hidden="true" outlineLevel="3">
      <c r="A1284" s="2" t="s">
        <v>2416</v>
      </c>
      <c r="B1284" s="3" t="s">
        <v>2417</v>
      </c>
      <c r="C1284" s="2"/>
      <c r="D1284" s="2" t="s">
        <v>16</v>
      </c>
      <c r="E1284" s="4">
        <f>122.86*(1-Z1%)</f>
        <v>122.86</v>
      </c>
      <c r="F1284" s="2">
        <v>9</v>
      </c>
      <c r="G1284" s="2"/>
    </row>
    <row r="1285" spans="1:26" customHeight="1" ht="18" hidden="true" outlineLevel="3">
      <c r="A1285" s="2" t="s">
        <v>2418</v>
      </c>
      <c r="B1285" s="3" t="s">
        <v>2419</v>
      </c>
      <c r="C1285" s="2"/>
      <c r="D1285" s="2" t="s">
        <v>16</v>
      </c>
      <c r="E1285" s="4">
        <f>66.00*(1-Z1%)</f>
        <v>66</v>
      </c>
      <c r="F1285" s="2">
        <v>16</v>
      </c>
      <c r="G1285" s="2"/>
    </row>
    <row r="1286" spans="1:26" customHeight="1" ht="18" hidden="true" outlineLevel="3">
      <c r="A1286" s="2" t="s">
        <v>2420</v>
      </c>
      <c r="B1286" s="3" t="s">
        <v>2421</v>
      </c>
      <c r="C1286" s="2"/>
      <c r="D1286" s="2" t="s">
        <v>16</v>
      </c>
      <c r="E1286" s="4">
        <f>55.25*(1-Z1%)</f>
        <v>55.25</v>
      </c>
      <c r="F1286" s="2">
        <v>5</v>
      </c>
      <c r="G1286" s="2"/>
    </row>
    <row r="1287" spans="1:26" customHeight="1" ht="18" hidden="true" outlineLevel="3">
      <c r="A1287" s="2" t="s">
        <v>2422</v>
      </c>
      <c r="B1287" s="3" t="s">
        <v>2423</v>
      </c>
      <c r="C1287" s="2"/>
      <c r="D1287" s="2" t="s">
        <v>16</v>
      </c>
      <c r="E1287" s="4">
        <f>99.32*(1-Z1%)</f>
        <v>99.32</v>
      </c>
      <c r="F1287" s="2">
        <v>24</v>
      </c>
      <c r="G1287" s="2"/>
    </row>
    <row r="1288" spans="1:26" customHeight="1" ht="18" hidden="true" outlineLevel="3">
      <c r="A1288" s="2" t="s">
        <v>2424</v>
      </c>
      <c r="B1288" s="3" t="s">
        <v>2425</v>
      </c>
      <c r="C1288" s="2"/>
      <c r="D1288" s="2" t="s">
        <v>16</v>
      </c>
      <c r="E1288" s="4">
        <f>85.82*(1-Z1%)</f>
        <v>85.82</v>
      </c>
      <c r="F1288" s="2">
        <v>14</v>
      </c>
      <c r="G1288" s="2"/>
    </row>
    <row r="1289" spans="1:26" customHeight="1" ht="18" hidden="true" outlineLevel="3">
      <c r="A1289" s="2" t="s">
        <v>2426</v>
      </c>
      <c r="B1289" s="3" t="s">
        <v>2427</v>
      </c>
      <c r="C1289" s="2"/>
      <c r="D1289" s="2" t="s">
        <v>16</v>
      </c>
      <c r="E1289" s="4">
        <f>82.11*(1-Z1%)</f>
        <v>82.11</v>
      </c>
      <c r="F1289" s="2">
        <v>11</v>
      </c>
      <c r="G1289" s="2"/>
    </row>
    <row r="1290" spans="1:26" customHeight="1" ht="18" hidden="true" outlineLevel="3">
      <c r="A1290" s="2" t="s">
        <v>2428</v>
      </c>
      <c r="B1290" s="3" t="s">
        <v>2429</v>
      </c>
      <c r="C1290" s="2"/>
      <c r="D1290" s="2" t="s">
        <v>16</v>
      </c>
      <c r="E1290" s="4">
        <f>70.47*(1-Z1%)</f>
        <v>70.47</v>
      </c>
      <c r="F1290" s="2">
        <v>42</v>
      </c>
      <c r="G1290" s="2"/>
    </row>
    <row r="1291" spans="1:26" customHeight="1" ht="18" hidden="true" outlineLevel="3">
      <c r="A1291" s="2" t="s">
        <v>2430</v>
      </c>
      <c r="B1291" s="3" t="s">
        <v>2431</v>
      </c>
      <c r="C1291" s="2"/>
      <c r="D1291" s="2" t="s">
        <v>16</v>
      </c>
      <c r="E1291" s="4">
        <f>70.47*(1-Z1%)</f>
        <v>70.47</v>
      </c>
      <c r="F1291" s="2">
        <v>5</v>
      </c>
      <c r="G1291" s="2"/>
    </row>
    <row r="1292" spans="1:26" customHeight="1" ht="36" hidden="true" outlineLevel="3">
      <c r="A1292" s="2" t="s">
        <v>2432</v>
      </c>
      <c r="B1292" s="3" t="s">
        <v>2433</v>
      </c>
      <c r="C1292" s="2"/>
      <c r="D1292" s="2" t="s">
        <v>16</v>
      </c>
      <c r="E1292" s="4">
        <f>90.52*(1-Z1%)</f>
        <v>90.52</v>
      </c>
      <c r="F1292" s="2">
        <v>38</v>
      </c>
      <c r="G1292" s="2"/>
    </row>
    <row r="1293" spans="1:26" customHeight="1" ht="36" hidden="true" outlineLevel="3">
      <c r="A1293" s="2" t="s">
        <v>2434</v>
      </c>
      <c r="B1293" s="3" t="s">
        <v>2435</v>
      </c>
      <c r="C1293" s="2"/>
      <c r="D1293" s="2" t="s">
        <v>16</v>
      </c>
      <c r="E1293" s="4">
        <f>107.74*(1-Z1%)</f>
        <v>107.74</v>
      </c>
      <c r="F1293" s="2">
        <v>10</v>
      </c>
      <c r="G1293" s="2"/>
    </row>
    <row r="1294" spans="1:26" customHeight="1" ht="18" hidden="true" outlineLevel="3">
      <c r="A1294" s="2" t="s">
        <v>2436</v>
      </c>
      <c r="B1294" s="3" t="s">
        <v>2437</v>
      </c>
      <c r="C1294" s="2"/>
      <c r="D1294" s="2" t="s">
        <v>16</v>
      </c>
      <c r="E1294" s="4">
        <f>67.40*(1-Z1%)</f>
        <v>67.4</v>
      </c>
      <c r="F1294" s="2">
        <v>18</v>
      </c>
      <c r="G1294" s="2"/>
    </row>
    <row r="1295" spans="1:26" customHeight="1" ht="18" hidden="true" outlineLevel="3">
      <c r="A1295" s="2" t="s">
        <v>2438</v>
      </c>
      <c r="B1295" s="3" t="s">
        <v>2439</v>
      </c>
      <c r="C1295" s="2"/>
      <c r="D1295" s="2" t="s">
        <v>16</v>
      </c>
      <c r="E1295" s="4">
        <f>73.22*(1-Z1%)</f>
        <v>73.22</v>
      </c>
      <c r="F1295" s="2">
        <v>1</v>
      </c>
      <c r="G1295" s="2"/>
    </row>
    <row r="1296" spans="1:26" customHeight="1" ht="18" hidden="true" outlineLevel="3">
      <c r="A1296" s="2" t="s">
        <v>2440</v>
      </c>
      <c r="B1296" s="3" t="s">
        <v>2441</v>
      </c>
      <c r="C1296" s="2"/>
      <c r="D1296" s="2" t="s">
        <v>16</v>
      </c>
      <c r="E1296" s="4">
        <f>103.19*(1-Z1%)</f>
        <v>103.19</v>
      </c>
      <c r="F1296" s="2">
        <v>1</v>
      </c>
      <c r="G1296" s="2"/>
    </row>
    <row r="1297" spans="1:26" customHeight="1" ht="18" hidden="true" outlineLevel="3">
      <c r="A1297" s="2" t="s">
        <v>2442</v>
      </c>
      <c r="B1297" s="3" t="s">
        <v>2443</v>
      </c>
      <c r="C1297" s="2"/>
      <c r="D1297" s="2" t="s">
        <v>16</v>
      </c>
      <c r="E1297" s="4">
        <f>98.17*(1-Z1%)</f>
        <v>98.17</v>
      </c>
      <c r="F1297" s="2">
        <v>14</v>
      </c>
      <c r="G1297" s="2"/>
    </row>
    <row r="1298" spans="1:26" customHeight="1" ht="18" hidden="true" outlineLevel="3">
      <c r="A1298" s="2" t="s">
        <v>2444</v>
      </c>
      <c r="B1298" s="3" t="s">
        <v>2445</v>
      </c>
      <c r="C1298" s="2"/>
      <c r="D1298" s="2" t="s">
        <v>16</v>
      </c>
      <c r="E1298" s="4">
        <f>91.18*(1-Z1%)</f>
        <v>91.18</v>
      </c>
      <c r="F1298" s="2">
        <v>8</v>
      </c>
      <c r="G1298" s="2"/>
    </row>
    <row r="1299" spans="1:26" customHeight="1" ht="18" hidden="true" outlineLevel="3">
      <c r="A1299" s="2" t="s">
        <v>2446</v>
      </c>
      <c r="B1299" s="3" t="s">
        <v>2447</v>
      </c>
      <c r="C1299" s="2"/>
      <c r="D1299" s="2" t="s">
        <v>16</v>
      </c>
      <c r="E1299" s="4">
        <f>66.69*(1-Z1%)</f>
        <v>66.69</v>
      </c>
      <c r="F1299" s="2">
        <v>2</v>
      </c>
      <c r="G1299" s="2"/>
    </row>
    <row r="1300" spans="1:26" customHeight="1" ht="35" hidden="true" outlineLevel="3">
      <c r="A1300" s="5" t="s">
        <v>2448</v>
      </c>
      <c r="B1300" s="5"/>
      <c r="C1300" s="5"/>
      <c r="D1300" s="5"/>
      <c r="E1300" s="5"/>
      <c r="F1300" s="5"/>
      <c r="G1300" s="5"/>
    </row>
    <row r="1301" spans="1:26" customHeight="1" ht="18" hidden="true" outlineLevel="3">
      <c r="A1301" s="2" t="s">
        <v>2449</v>
      </c>
      <c r="B1301" s="3" t="s">
        <v>2450</v>
      </c>
      <c r="C1301" s="2"/>
      <c r="D1301" s="2" t="s">
        <v>16</v>
      </c>
      <c r="E1301" s="4">
        <f>43.61*(1-Z1%)</f>
        <v>43.61</v>
      </c>
      <c r="F1301" s="2">
        <v>28</v>
      </c>
      <c r="G1301" s="2"/>
    </row>
    <row r="1302" spans="1:26" customHeight="1" ht="18" hidden="true" outlineLevel="3">
      <c r="A1302" s="2" t="s">
        <v>2451</v>
      </c>
      <c r="B1302" s="3" t="s">
        <v>2452</v>
      </c>
      <c r="C1302" s="2"/>
      <c r="D1302" s="2" t="s">
        <v>16</v>
      </c>
      <c r="E1302" s="4">
        <f>44.46*(1-Z1%)</f>
        <v>44.46</v>
      </c>
      <c r="F1302" s="2">
        <v>99</v>
      </c>
      <c r="G1302" s="2"/>
    </row>
    <row r="1303" spans="1:26" customHeight="1" ht="35" hidden="true" outlineLevel="3">
      <c r="A1303" s="5" t="s">
        <v>2453</v>
      </c>
      <c r="B1303" s="5"/>
      <c r="C1303" s="5"/>
      <c r="D1303" s="5"/>
      <c r="E1303" s="5"/>
      <c r="F1303" s="5"/>
      <c r="G1303" s="5"/>
    </row>
    <row r="1304" spans="1:26" customHeight="1" ht="36" hidden="true" outlineLevel="3">
      <c r="A1304" s="2" t="s">
        <v>2454</v>
      </c>
      <c r="B1304" s="3" t="s">
        <v>2455</v>
      </c>
      <c r="C1304" s="2"/>
      <c r="D1304" s="2" t="s">
        <v>16</v>
      </c>
      <c r="E1304" s="4">
        <f>139.48*(1-Z1%)</f>
        <v>139.48</v>
      </c>
      <c r="F1304" s="2">
        <v>6</v>
      </c>
      <c r="G1304" s="2"/>
    </row>
    <row r="1305" spans="1:26" customHeight="1" ht="18" hidden="true" outlineLevel="3">
      <c r="A1305" s="2" t="s">
        <v>2456</v>
      </c>
      <c r="B1305" s="3" t="s">
        <v>2457</v>
      </c>
      <c r="C1305" s="2"/>
      <c r="D1305" s="2" t="s">
        <v>16</v>
      </c>
      <c r="E1305" s="4">
        <f>58.14*(1-Z1%)</f>
        <v>58.14</v>
      </c>
      <c r="F1305" s="2">
        <v>15</v>
      </c>
      <c r="G1305" s="2"/>
    </row>
    <row r="1306" spans="1:26" customHeight="1" ht="35" hidden="true" outlineLevel="3">
      <c r="A1306" s="5" t="s">
        <v>2458</v>
      </c>
      <c r="B1306" s="5"/>
      <c r="C1306" s="5"/>
      <c r="D1306" s="5"/>
      <c r="E1306" s="5"/>
      <c r="F1306" s="5"/>
      <c r="G1306" s="5"/>
    </row>
    <row r="1307" spans="1:26" customHeight="1" ht="35" hidden="true" outlineLevel="4">
      <c r="A1307" s="5" t="s">
        <v>2459</v>
      </c>
      <c r="B1307" s="5"/>
      <c r="C1307" s="5"/>
      <c r="D1307" s="5"/>
      <c r="E1307" s="5"/>
      <c r="F1307" s="5"/>
      <c r="G1307" s="5"/>
    </row>
    <row r="1308" spans="1:26" customHeight="1" ht="36" hidden="true" outlineLevel="4">
      <c r="A1308" s="2" t="s">
        <v>2460</v>
      </c>
      <c r="B1308" s="3" t="s">
        <v>2461</v>
      </c>
      <c r="C1308" s="2"/>
      <c r="D1308" s="2" t="s">
        <v>16</v>
      </c>
      <c r="E1308" s="4">
        <f>63.67*(1-Z1%)</f>
        <v>63.67</v>
      </c>
      <c r="F1308" s="2">
        <v>4</v>
      </c>
      <c r="G1308" s="2"/>
    </row>
    <row r="1309" spans="1:26" customHeight="1" ht="18" hidden="true" outlineLevel="4">
      <c r="A1309" s="2" t="s">
        <v>2462</v>
      </c>
      <c r="B1309" s="3" t="s">
        <v>2463</v>
      </c>
      <c r="C1309" s="2"/>
      <c r="D1309" s="2" t="s">
        <v>16</v>
      </c>
      <c r="E1309" s="4">
        <f>125.42*(1-Z1%)</f>
        <v>125.42</v>
      </c>
      <c r="F1309" s="2">
        <v>18</v>
      </c>
      <c r="G1309" s="2"/>
    </row>
    <row r="1310" spans="1:26" customHeight="1" ht="36" hidden="true" outlineLevel="4">
      <c r="A1310" s="2" t="s">
        <v>2464</v>
      </c>
      <c r="B1310" s="3" t="s">
        <v>2465</v>
      </c>
      <c r="C1310" s="2"/>
      <c r="D1310" s="2" t="s">
        <v>16</v>
      </c>
      <c r="E1310" s="4">
        <f>161.60*(1-Z1%)</f>
        <v>161.6</v>
      </c>
      <c r="F1310" s="2">
        <v>64</v>
      </c>
      <c r="G1310" s="2"/>
    </row>
    <row r="1311" spans="1:26" customHeight="1" ht="18" hidden="true" outlineLevel="4">
      <c r="A1311" s="2" t="s">
        <v>2466</v>
      </c>
      <c r="B1311" s="3" t="s">
        <v>2467</v>
      </c>
      <c r="C1311" s="2"/>
      <c r="D1311" s="2" t="s">
        <v>16</v>
      </c>
      <c r="E1311" s="4">
        <f>168.19*(1-Z1%)</f>
        <v>168.19</v>
      </c>
      <c r="F1311" s="2">
        <v>1</v>
      </c>
      <c r="G1311" s="2"/>
    </row>
    <row r="1312" spans="1:26" customHeight="1" ht="18" hidden="true" outlineLevel="4">
      <c r="A1312" s="2" t="s">
        <v>2468</v>
      </c>
      <c r="B1312" s="3" t="s">
        <v>2469</v>
      </c>
      <c r="C1312" s="2"/>
      <c r="D1312" s="2" t="s">
        <v>16</v>
      </c>
      <c r="E1312" s="4">
        <f>116.44*(1-Z1%)</f>
        <v>116.44</v>
      </c>
      <c r="F1312" s="2">
        <v>19</v>
      </c>
      <c r="G1312" s="2"/>
    </row>
    <row r="1313" spans="1:26" customHeight="1" ht="36" hidden="true" outlineLevel="4">
      <c r="A1313" s="2" t="s">
        <v>2470</v>
      </c>
      <c r="B1313" s="3" t="s">
        <v>2471</v>
      </c>
      <c r="C1313" s="2"/>
      <c r="D1313" s="2" t="s">
        <v>16</v>
      </c>
      <c r="E1313" s="4">
        <f>147.06*(1-Z1%)</f>
        <v>147.06</v>
      </c>
      <c r="F1313" s="2">
        <v>18</v>
      </c>
      <c r="G1313" s="2"/>
    </row>
    <row r="1314" spans="1:26" customHeight="1" ht="36" hidden="true" outlineLevel="4">
      <c r="A1314" s="2" t="s">
        <v>2472</v>
      </c>
      <c r="B1314" s="3" t="s">
        <v>2473</v>
      </c>
      <c r="C1314" s="2"/>
      <c r="D1314" s="2" t="s">
        <v>16</v>
      </c>
      <c r="E1314" s="4">
        <f>122.27*(1-Z1%)</f>
        <v>122.27</v>
      </c>
      <c r="F1314" s="2">
        <v>5</v>
      </c>
      <c r="G1314" s="2"/>
    </row>
    <row r="1315" spans="1:26" customHeight="1" ht="36" hidden="true" outlineLevel="4">
      <c r="A1315" s="2" t="s">
        <v>2474</v>
      </c>
      <c r="B1315" s="3" t="s">
        <v>2475</v>
      </c>
      <c r="C1315" s="2"/>
      <c r="D1315" s="2" t="s">
        <v>16</v>
      </c>
      <c r="E1315" s="4">
        <f>170.15*(1-Z1%)</f>
        <v>170.15</v>
      </c>
      <c r="F1315" s="2">
        <v>13</v>
      </c>
      <c r="G1315" s="2"/>
    </row>
    <row r="1316" spans="1:26" customHeight="1" ht="18" hidden="true" outlineLevel="4">
      <c r="A1316" s="2" t="s">
        <v>2476</v>
      </c>
      <c r="B1316" s="3" t="s">
        <v>2477</v>
      </c>
      <c r="C1316" s="2"/>
      <c r="D1316" s="2" t="s">
        <v>16</v>
      </c>
      <c r="E1316" s="4">
        <f>20.52*(1-Z1%)</f>
        <v>20.52</v>
      </c>
      <c r="F1316" s="2">
        <v>12</v>
      </c>
      <c r="G1316" s="2"/>
    </row>
    <row r="1317" spans="1:26" customHeight="1" ht="18" hidden="true" outlineLevel="4">
      <c r="A1317" s="2" t="s">
        <v>2478</v>
      </c>
      <c r="B1317" s="3" t="s">
        <v>2479</v>
      </c>
      <c r="C1317" s="2"/>
      <c r="D1317" s="2" t="s">
        <v>16</v>
      </c>
      <c r="E1317" s="4">
        <f>103.50*(1-Z1%)</f>
        <v>103.5</v>
      </c>
      <c r="F1317" s="2">
        <v>30</v>
      </c>
      <c r="G1317" s="2"/>
    </row>
    <row r="1318" spans="1:26" customHeight="1" ht="35" hidden="true" outlineLevel="4">
      <c r="A1318" s="5" t="s">
        <v>2480</v>
      </c>
      <c r="B1318" s="5"/>
      <c r="C1318" s="5"/>
      <c r="D1318" s="5"/>
      <c r="E1318" s="5"/>
      <c r="F1318" s="5"/>
      <c r="G1318" s="5"/>
    </row>
    <row r="1319" spans="1:26" customHeight="1" ht="18" hidden="true" outlineLevel="4">
      <c r="A1319" s="2" t="s">
        <v>2481</v>
      </c>
      <c r="B1319" s="3" t="s">
        <v>2482</v>
      </c>
      <c r="C1319" s="2"/>
      <c r="D1319" s="2" t="s">
        <v>16</v>
      </c>
      <c r="E1319" s="4">
        <f>106.02*(1-Z1%)</f>
        <v>106.02</v>
      </c>
      <c r="F1319" s="2">
        <v>9</v>
      </c>
      <c r="G1319" s="2"/>
    </row>
    <row r="1320" spans="1:26" customHeight="1" ht="36" hidden="true" outlineLevel="4">
      <c r="A1320" s="2" t="s">
        <v>2483</v>
      </c>
      <c r="B1320" s="3" t="s">
        <v>2484</v>
      </c>
      <c r="C1320" s="2"/>
      <c r="D1320" s="2" t="s">
        <v>16</v>
      </c>
      <c r="E1320" s="4">
        <f>136.80*(1-Z1%)</f>
        <v>136.8</v>
      </c>
      <c r="F1320" s="2">
        <v>3</v>
      </c>
      <c r="G1320" s="2"/>
    </row>
    <row r="1321" spans="1:26" customHeight="1" ht="36" hidden="true" outlineLevel="4">
      <c r="A1321" s="2" t="s">
        <v>2485</v>
      </c>
      <c r="B1321" s="3" t="s">
        <v>2486</v>
      </c>
      <c r="C1321" s="2"/>
      <c r="D1321" s="2" t="s">
        <v>16</v>
      </c>
      <c r="E1321" s="4">
        <f>142.96*(1-Z1%)</f>
        <v>142.96</v>
      </c>
      <c r="F1321" s="2">
        <v>4</v>
      </c>
      <c r="G1321" s="2"/>
    </row>
    <row r="1322" spans="1:26" customHeight="1" ht="35" hidden="true" outlineLevel="3">
      <c r="A1322" s="5" t="s">
        <v>2487</v>
      </c>
      <c r="B1322" s="5"/>
      <c r="C1322" s="5"/>
      <c r="D1322" s="5"/>
      <c r="E1322" s="5"/>
      <c r="F1322" s="5"/>
      <c r="G1322" s="5"/>
    </row>
    <row r="1323" spans="1:26" customHeight="1" ht="35" hidden="true" outlineLevel="4">
      <c r="A1323" s="5" t="s">
        <v>2488</v>
      </c>
      <c r="B1323" s="5"/>
      <c r="C1323" s="5"/>
      <c r="D1323" s="5"/>
      <c r="E1323" s="5"/>
      <c r="F1323" s="5"/>
      <c r="G1323" s="5"/>
    </row>
    <row r="1324" spans="1:26" customHeight="1" ht="18" hidden="true" outlineLevel="4">
      <c r="A1324" s="2" t="s">
        <v>2489</v>
      </c>
      <c r="B1324" s="3" t="s">
        <v>2490</v>
      </c>
      <c r="C1324" s="2"/>
      <c r="D1324" s="2" t="s">
        <v>16</v>
      </c>
      <c r="E1324" s="4">
        <f>38.61*(1-Z1%)</f>
        <v>38.61</v>
      </c>
      <c r="F1324" s="2">
        <v>29</v>
      </c>
      <c r="G1324" s="2"/>
    </row>
    <row r="1325" spans="1:26" customHeight="1" ht="18" hidden="true" outlineLevel="4">
      <c r="A1325" s="2" t="s">
        <v>2491</v>
      </c>
      <c r="B1325" s="3" t="s">
        <v>2492</v>
      </c>
      <c r="C1325" s="2"/>
      <c r="D1325" s="2" t="s">
        <v>16</v>
      </c>
      <c r="E1325" s="4">
        <f>40.43*(1-Z1%)</f>
        <v>40.43</v>
      </c>
      <c r="F1325" s="2">
        <v>9</v>
      </c>
      <c r="G1325" s="2"/>
    </row>
    <row r="1326" spans="1:26" customHeight="1" ht="36" hidden="true" outlineLevel="4">
      <c r="A1326" s="2" t="s">
        <v>2493</v>
      </c>
      <c r="B1326" s="3" t="s">
        <v>2494</v>
      </c>
      <c r="C1326" s="2"/>
      <c r="D1326" s="2" t="s">
        <v>16</v>
      </c>
      <c r="E1326" s="4">
        <f>63.11*(1-Z1%)</f>
        <v>63.11</v>
      </c>
      <c r="F1326" s="2">
        <v>14</v>
      </c>
      <c r="G1326" s="2"/>
    </row>
    <row r="1327" spans="1:26" customHeight="1" ht="36" hidden="true" outlineLevel="4">
      <c r="A1327" s="2" t="s">
        <v>2495</v>
      </c>
      <c r="B1327" s="3" t="s">
        <v>2496</v>
      </c>
      <c r="C1327" s="2"/>
      <c r="D1327" s="2" t="s">
        <v>16</v>
      </c>
      <c r="E1327" s="4">
        <f>63.11*(1-Z1%)</f>
        <v>63.11</v>
      </c>
      <c r="F1327" s="2">
        <v>10</v>
      </c>
      <c r="G1327" s="2"/>
    </row>
    <row r="1328" spans="1:26" customHeight="1" ht="18" hidden="true" outlineLevel="4">
      <c r="A1328" s="2" t="s">
        <v>2497</v>
      </c>
      <c r="B1328" s="3" t="s">
        <v>2498</v>
      </c>
      <c r="C1328" s="2"/>
      <c r="D1328" s="2" t="s">
        <v>16</v>
      </c>
      <c r="E1328" s="4">
        <f>106.02*(1-Z1%)</f>
        <v>106.02</v>
      </c>
      <c r="F1328" s="2">
        <v>6</v>
      </c>
      <c r="G1328" s="2"/>
    </row>
    <row r="1329" spans="1:26" customHeight="1" ht="35" hidden="true" outlineLevel="4">
      <c r="A1329" s="5" t="s">
        <v>2499</v>
      </c>
      <c r="B1329" s="5"/>
      <c r="C1329" s="5"/>
      <c r="D1329" s="5"/>
      <c r="E1329" s="5"/>
      <c r="F1329" s="5"/>
      <c r="G1329" s="5"/>
    </row>
    <row r="1330" spans="1:26" customHeight="1" ht="18" hidden="true" outlineLevel="4">
      <c r="A1330" s="2" t="s">
        <v>2500</v>
      </c>
      <c r="B1330" s="3" t="s">
        <v>2501</v>
      </c>
      <c r="C1330" s="2"/>
      <c r="D1330" s="2" t="s">
        <v>16</v>
      </c>
      <c r="E1330" s="4">
        <f>63.67*(1-Z1%)</f>
        <v>63.67</v>
      </c>
      <c r="F1330" s="2">
        <v>18</v>
      </c>
      <c r="G1330" s="2"/>
    </row>
    <row r="1331" spans="1:26" customHeight="1" ht="18" hidden="true" outlineLevel="4">
      <c r="A1331" s="2" t="s">
        <v>2502</v>
      </c>
      <c r="B1331" s="3" t="s">
        <v>2503</v>
      </c>
      <c r="C1331" s="2"/>
      <c r="D1331" s="2" t="s">
        <v>16</v>
      </c>
      <c r="E1331" s="4">
        <f>71.82*(1-Z1%)</f>
        <v>71.82</v>
      </c>
      <c r="F1331" s="2">
        <v>10</v>
      </c>
      <c r="G1331" s="2"/>
    </row>
    <row r="1332" spans="1:26" customHeight="1" ht="36" hidden="true" outlineLevel="4">
      <c r="A1332" s="2" t="s">
        <v>2504</v>
      </c>
      <c r="B1332" s="3" t="s">
        <v>2505</v>
      </c>
      <c r="C1332" s="2"/>
      <c r="D1332" s="2" t="s">
        <v>16</v>
      </c>
      <c r="E1332" s="4">
        <f>69.26*(1-Z1%)</f>
        <v>69.26</v>
      </c>
      <c r="F1332" s="2">
        <v>30</v>
      </c>
      <c r="G1332" s="2"/>
    </row>
    <row r="1333" spans="1:26" customHeight="1" ht="18" hidden="true" outlineLevel="4">
      <c r="A1333" s="2" t="s">
        <v>2506</v>
      </c>
      <c r="B1333" s="3" t="s">
        <v>2507</v>
      </c>
      <c r="C1333" s="2"/>
      <c r="D1333" s="2" t="s">
        <v>16</v>
      </c>
      <c r="E1333" s="4">
        <f>34.87*(1-Z1%)</f>
        <v>34.87</v>
      </c>
      <c r="F1333" s="2">
        <v>1</v>
      </c>
      <c r="G1333" s="2"/>
    </row>
    <row r="1334" spans="1:26" customHeight="1" ht="35" hidden="true" outlineLevel="4">
      <c r="A1334" s="5" t="s">
        <v>2508</v>
      </c>
      <c r="B1334" s="5"/>
      <c r="C1334" s="5"/>
      <c r="D1334" s="5"/>
      <c r="E1334" s="5"/>
      <c r="F1334" s="5"/>
      <c r="G1334" s="5"/>
    </row>
    <row r="1335" spans="1:26" customHeight="1" ht="18" hidden="true" outlineLevel="4">
      <c r="A1335" s="2" t="s">
        <v>2509</v>
      </c>
      <c r="B1335" s="3" t="s">
        <v>2510</v>
      </c>
      <c r="C1335" s="2"/>
      <c r="D1335" s="2" t="s">
        <v>16</v>
      </c>
      <c r="E1335" s="4">
        <f>135.76*(1-Z1%)</f>
        <v>135.76</v>
      </c>
      <c r="F1335" s="2">
        <v>4</v>
      </c>
      <c r="G1335" s="2"/>
    </row>
    <row r="1336" spans="1:26" customHeight="1" ht="36" hidden="true" outlineLevel="4">
      <c r="A1336" s="2" t="s">
        <v>2511</v>
      </c>
      <c r="B1336" s="3" t="s">
        <v>2512</v>
      </c>
      <c r="C1336" s="2"/>
      <c r="D1336" s="2" t="s">
        <v>16</v>
      </c>
      <c r="E1336" s="4">
        <f>76.10*(1-Z1%)</f>
        <v>76.1</v>
      </c>
      <c r="F1336" s="2">
        <v>2</v>
      </c>
      <c r="G1336" s="2"/>
    </row>
    <row r="1337" spans="1:26" customHeight="1" ht="36" hidden="true" outlineLevel="4">
      <c r="A1337" s="2" t="s">
        <v>2513</v>
      </c>
      <c r="B1337" s="3" t="s">
        <v>2514</v>
      </c>
      <c r="C1337" s="2"/>
      <c r="D1337" s="2" t="s">
        <v>16</v>
      </c>
      <c r="E1337" s="4">
        <f>71.15*(1-Z1%)</f>
        <v>71.15</v>
      </c>
      <c r="F1337" s="2">
        <v>9</v>
      </c>
      <c r="G1337" s="2"/>
    </row>
    <row r="1338" spans="1:26" customHeight="1" ht="18" hidden="true" outlineLevel="4">
      <c r="A1338" s="2" t="s">
        <v>2515</v>
      </c>
      <c r="B1338" s="3" t="s">
        <v>2516</v>
      </c>
      <c r="C1338" s="2"/>
      <c r="D1338" s="2" t="s">
        <v>16</v>
      </c>
      <c r="E1338" s="4">
        <f>112.01*(1-Z1%)</f>
        <v>112.01</v>
      </c>
      <c r="F1338" s="2">
        <v>5</v>
      </c>
      <c r="G1338" s="2"/>
    </row>
    <row r="1339" spans="1:26" customHeight="1" ht="18" hidden="true" outlineLevel="4">
      <c r="A1339" s="2" t="s">
        <v>2517</v>
      </c>
      <c r="B1339" s="3" t="s">
        <v>2518</v>
      </c>
      <c r="C1339" s="2"/>
      <c r="D1339" s="2" t="s">
        <v>16</v>
      </c>
      <c r="E1339" s="4">
        <f>45.28*(1-Z1%)</f>
        <v>45.28</v>
      </c>
      <c r="F1339" s="2">
        <v>7</v>
      </c>
      <c r="G1339" s="2"/>
    </row>
    <row r="1340" spans="1:26" customHeight="1" ht="18" hidden="true" outlineLevel="4">
      <c r="A1340" s="2" t="s">
        <v>2519</v>
      </c>
      <c r="B1340" s="3" t="s">
        <v>2520</v>
      </c>
      <c r="C1340" s="2"/>
      <c r="D1340" s="2" t="s">
        <v>16</v>
      </c>
      <c r="E1340" s="4">
        <f>45.28*(1-Z1%)</f>
        <v>45.28</v>
      </c>
      <c r="F1340" s="2">
        <v>9</v>
      </c>
      <c r="G1340" s="2"/>
    </row>
    <row r="1341" spans="1:26" customHeight="1" ht="18" hidden="true" outlineLevel="4">
      <c r="A1341" s="2" t="s">
        <v>2521</v>
      </c>
      <c r="B1341" s="3" t="s">
        <v>2522</v>
      </c>
      <c r="C1341" s="2"/>
      <c r="D1341" s="2" t="s">
        <v>16</v>
      </c>
      <c r="E1341" s="4">
        <f>94.05*(1-Z1%)</f>
        <v>94.05</v>
      </c>
      <c r="F1341" s="2">
        <v>3</v>
      </c>
      <c r="G1341" s="2"/>
    </row>
    <row r="1342" spans="1:26" customHeight="1" ht="18" hidden="true" outlineLevel="4">
      <c r="A1342" s="2" t="s">
        <v>2523</v>
      </c>
      <c r="B1342" s="3" t="s">
        <v>2524</v>
      </c>
      <c r="C1342" s="2"/>
      <c r="D1342" s="2" t="s">
        <v>16</v>
      </c>
      <c r="E1342" s="4">
        <f>84.65*(1-Z1%)</f>
        <v>84.65</v>
      </c>
      <c r="F1342" s="2">
        <v>8</v>
      </c>
      <c r="G1342" s="2"/>
    </row>
    <row r="1343" spans="1:26" customHeight="1" ht="18" hidden="true" outlineLevel="4">
      <c r="A1343" s="2" t="s">
        <v>2525</v>
      </c>
      <c r="B1343" s="3" t="s">
        <v>2526</v>
      </c>
      <c r="C1343" s="2"/>
      <c r="D1343" s="2" t="s">
        <v>16</v>
      </c>
      <c r="E1343" s="4">
        <f>69.26*(1-Z1%)</f>
        <v>69.26</v>
      </c>
      <c r="F1343" s="2">
        <v>9</v>
      </c>
      <c r="G1343" s="2"/>
    </row>
    <row r="1344" spans="1:26" customHeight="1" ht="35" hidden="true" outlineLevel="3">
      <c r="A1344" s="5" t="s">
        <v>2527</v>
      </c>
      <c r="B1344" s="5"/>
      <c r="C1344" s="5"/>
      <c r="D1344" s="5"/>
      <c r="E1344" s="5"/>
      <c r="F1344" s="5"/>
      <c r="G1344" s="5"/>
    </row>
    <row r="1345" spans="1:26" customHeight="1" ht="18" hidden="true" outlineLevel="3">
      <c r="A1345" s="2" t="s">
        <v>2528</v>
      </c>
      <c r="B1345" s="3" t="s">
        <v>2529</v>
      </c>
      <c r="C1345" s="2"/>
      <c r="D1345" s="2" t="s">
        <v>16</v>
      </c>
      <c r="E1345" s="4">
        <f>61.80*(1-Z1%)</f>
        <v>61.8</v>
      </c>
      <c r="F1345" s="2">
        <v>26</v>
      </c>
      <c r="G1345" s="2"/>
    </row>
    <row r="1346" spans="1:26" customHeight="1" ht="35" hidden="true" outlineLevel="2">
      <c r="A1346" s="5" t="s">
        <v>2530</v>
      </c>
      <c r="B1346" s="5"/>
      <c r="C1346" s="5"/>
      <c r="D1346" s="5"/>
      <c r="E1346" s="5"/>
      <c r="F1346" s="5"/>
      <c r="G1346" s="5"/>
    </row>
    <row r="1347" spans="1:26" customHeight="1" ht="35" hidden="true" outlineLevel="3">
      <c r="A1347" s="5" t="s">
        <v>2531</v>
      </c>
      <c r="B1347" s="5"/>
      <c r="C1347" s="5"/>
      <c r="D1347" s="5"/>
      <c r="E1347" s="5"/>
      <c r="F1347" s="5"/>
      <c r="G1347" s="5"/>
    </row>
    <row r="1348" spans="1:26" customHeight="1" ht="18" hidden="true" outlineLevel="3">
      <c r="A1348" s="2" t="s">
        <v>2532</v>
      </c>
      <c r="B1348" s="3" t="s">
        <v>2533</v>
      </c>
      <c r="C1348" s="2"/>
      <c r="D1348" s="2" t="s">
        <v>16</v>
      </c>
      <c r="E1348" s="4">
        <f>70.18*(1-Z1%)</f>
        <v>70.18</v>
      </c>
      <c r="F1348" s="2">
        <v>1</v>
      </c>
      <c r="G1348" s="2"/>
    </row>
    <row r="1349" spans="1:26" customHeight="1" ht="18" hidden="true" outlineLevel="3">
      <c r="A1349" s="2" t="s">
        <v>2534</v>
      </c>
      <c r="B1349" s="3" t="s">
        <v>2535</v>
      </c>
      <c r="C1349" s="2"/>
      <c r="D1349" s="2" t="s">
        <v>16</v>
      </c>
      <c r="E1349" s="4">
        <f>65.19*(1-Z1%)</f>
        <v>65.19</v>
      </c>
      <c r="F1349" s="2">
        <v>1</v>
      </c>
      <c r="G1349" s="2"/>
    </row>
    <row r="1350" spans="1:26" customHeight="1" ht="18" hidden="true" outlineLevel="3">
      <c r="A1350" s="2" t="s">
        <v>2536</v>
      </c>
      <c r="B1350" s="3" t="s">
        <v>2537</v>
      </c>
      <c r="C1350" s="2"/>
      <c r="D1350" s="2" t="s">
        <v>16</v>
      </c>
      <c r="E1350" s="4">
        <f>100.04*(1-Z1%)</f>
        <v>100.04</v>
      </c>
      <c r="F1350" s="2">
        <v>8</v>
      </c>
      <c r="G1350" s="2"/>
    </row>
    <row r="1351" spans="1:26" customHeight="1" ht="18" hidden="true" outlineLevel="3">
      <c r="A1351" s="2" t="s">
        <v>2538</v>
      </c>
      <c r="B1351" s="3" t="s">
        <v>2539</v>
      </c>
      <c r="C1351" s="2"/>
      <c r="D1351" s="2" t="s">
        <v>16</v>
      </c>
      <c r="E1351" s="4">
        <f>106.88*(1-Z1%)</f>
        <v>106.88</v>
      </c>
      <c r="F1351" s="2">
        <v>50</v>
      </c>
      <c r="G1351" s="2"/>
    </row>
    <row r="1352" spans="1:26" customHeight="1" ht="18" hidden="true" outlineLevel="3">
      <c r="A1352" s="2" t="s">
        <v>2540</v>
      </c>
      <c r="B1352" s="3" t="s">
        <v>2541</v>
      </c>
      <c r="C1352" s="2"/>
      <c r="D1352" s="2" t="s">
        <v>16</v>
      </c>
      <c r="E1352" s="4">
        <f>58.22*(1-Z1%)</f>
        <v>58.22</v>
      </c>
      <c r="F1352" s="2">
        <v>45</v>
      </c>
      <c r="G1352" s="2"/>
    </row>
    <row r="1353" spans="1:26" customHeight="1" ht="18" hidden="true" outlineLevel="3">
      <c r="A1353" s="2" t="s">
        <v>2542</v>
      </c>
      <c r="B1353" s="3" t="s">
        <v>2543</v>
      </c>
      <c r="C1353" s="2"/>
      <c r="D1353" s="2" t="s">
        <v>16</v>
      </c>
      <c r="E1353" s="4">
        <f>71.15*(1-Z1%)</f>
        <v>71.15</v>
      </c>
      <c r="F1353" s="2">
        <v>24</v>
      </c>
      <c r="G1353" s="2"/>
    </row>
    <row r="1354" spans="1:26" customHeight="1" ht="18" hidden="true" outlineLevel="3">
      <c r="A1354" s="2" t="s">
        <v>2544</v>
      </c>
      <c r="B1354" s="3" t="s">
        <v>2545</v>
      </c>
      <c r="C1354" s="2"/>
      <c r="D1354" s="2" t="s">
        <v>16</v>
      </c>
      <c r="E1354" s="4">
        <f>123.75*(1-Z1%)</f>
        <v>123.75</v>
      </c>
      <c r="F1354" s="2">
        <v>2</v>
      </c>
      <c r="G1354" s="2"/>
    </row>
    <row r="1355" spans="1:26" customHeight="1" ht="18" hidden="true" outlineLevel="3">
      <c r="A1355" s="2" t="s">
        <v>2546</v>
      </c>
      <c r="B1355" s="3" t="s">
        <v>2547</v>
      </c>
      <c r="C1355" s="2"/>
      <c r="D1355" s="2" t="s">
        <v>16</v>
      </c>
      <c r="E1355" s="4">
        <f>136.13*(1-Z1%)</f>
        <v>136.13</v>
      </c>
      <c r="F1355" s="2">
        <v>2</v>
      </c>
      <c r="G1355" s="2"/>
    </row>
    <row r="1356" spans="1:26" customHeight="1" ht="18" hidden="true" outlineLevel="3">
      <c r="A1356" s="2" t="s">
        <v>2548</v>
      </c>
      <c r="B1356" s="3" t="s">
        <v>2549</v>
      </c>
      <c r="C1356" s="2"/>
      <c r="D1356" s="2" t="s">
        <v>16</v>
      </c>
      <c r="E1356" s="4">
        <f>136.13*(1-Z1%)</f>
        <v>136.13</v>
      </c>
      <c r="F1356" s="2">
        <v>2</v>
      </c>
      <c r="G1356" s="2"/>
    </row>
    <row r="1357" spans="1:26" customHeight="1" ht="18" hidden="true" outlineLevel="3">
      <c r="A1357" s="2" t="s">
        <v>2550</v>
      </c>
      <c r="B1357" s="3" t="s">
        <v>2551</v>
      </c>
      <c r="C1357" s="2"/>
      <c r="D1357" s="2" t="s">
        <v>16</v>
      </c>
      <c r="E1357" s="4">
        <f>51.75*(1-Z1%)</f>
        <v>51.75</v>
      </c>
      <c r="F1357" s="2">
        <v>1</v>
      </c>
      <c r="G1357" s="2"/>
    </row>
    <row r="1358" spans="1:26" customHeight="1" ht="35" hidden="true" outlineLevel="3">
      <c r="A1358" s="5" t="s">
        <v>2552</v>
      </c>
      <c r="B1358" s="5"/>
      <c r="C1358" s="5"/>
      <c r="D1358" s="5"/>
      <c r="E1358" s="5"/>
      <c r="F1358" s="5"/>
      <c r="G1358" s="5"/>
    </row>
    <row r="1359" spans="1:26" customHeight="1" ht="18" hidden="true" outlineLevel="3">
      <c r="A1359" s="2" t="s">
        <v>2553</v>
      </c>
      <c r="B1359" s="3" t="s">
        <v>2554</v>
      </c>
      <c r="C1359" s="2"/>
      <c r="D1359" s="2" t="s">
        <v>16</v>
      </c>
      <c r="E1359" s="4">
        <f>323.44*(1-Z1%)</f>
        <v>323.44</v>
      </c>
      <c r="F1359" s="2">
        <v>3</v>
      </c>
      <c r="G1359" s="2"/>
    </row>
    <row r="1360" spans="1:26" customHeight="1" ht="18" hidden="true" outlineLevel="3">
      <c r="A1360" s="2" t="s">
        <v>2555</v>
      </c>
      <c r="B1360" s="3" t="s">
        <v>2556</v>
      </c>
      <c r="C1360" s="2"/>
      <c r="D1360" s="2" t="s">
        <v>16</v>
      </c>
      <c r="E1360" s="4">
        <f>323.44*(1-Z1%)</f>
        <v>323.44</v>
      </c>
      <c r="F1360" s="2">
        <v>2</v>
      </c>
      <c r="G1360" s="2"/>
    </row>
    <row r="1361" spans="1:26" customHeight="1" ht="35" hidden="true" outlineLevel="2">
      <c r="A1361" s="5" t="s">
        <v>2557</v>
      </c>
      <c r="B1361" s="5"/>
      <c r="C1361" s="5"/>
      <c r="D1361" s="5"/>
      <c r="E1361" s="5"/>
      <c r="F1361" s="5"/>
      <c r="G1361" s="5"/>
    </row>
    <row r="1362" spans="1:26" customHeight="1" ht="35" hidden="true" outlineLevel="3">
      <c r="A1362" s="5" t="s">
        <v>2558</v>
      </c>
      <c r="B1362" s="5"/>
      <c r="C1362" s="5"/>
      <c r="D1362" s="5"/>
      <c r="E1362" s="5"/>
      <c r="F1362" s="5"/>
      <c r="G1362" s="5"/>
    </row>
    <row r="1363" spans="1:26" customHeight="1" ht="18" hidden="true" outlineLevel="3">
      <c r="A1363" s="2" t="s">
        <v>2559</v>
      </c>
      <c r="B1363" s="3" t="s">
        <v>2560</v>
      </c>
      <c r="C1363" s="2"/>
      <c r="D1363" s="2" t="s">
        <v>16</v>
      </c>
      <c r="E1363" s="4">
        <f>111.15*(1-Z1%)</f>
        <v>111.15</v>
      </c>
      <c r="F1363" s="2">
        <v>29</v>
      </c>
      <c r="G1363" s="2"/>
    </row>
    <row r="1364" spans="1:26" customHeight="1" ht="18" hidden="true" outlineLevel="3">
      <c r="A1364" s="2" t="s">
        <v>2561</v>
      </c>
      <c r="B1364" s="3" t="s">
        <v>2562</v>
      </c>
      <c r="C1364" s="2"/>
      <c r="D1364" s="2" t="s">
        <v>16</v>
      </c>
      <c r="E1364" s="4">
        <f>83.79*(1-Z1%)</f>
        <v>83.79</v>
      </c>
      <c r="F1364" s="2">
        <v>30</v>
      </c>
      <c r="G1364" s="2"/>
    </row>
    <row r="1365" spans="1:26" customHeight="1" ht="18" hidden="true" outlineLevel="3">
      <c r="A1365" s="2" t="s">
        <v>2563</v>
      </c>
      <c r="B1365" s="3" t="s">
        <v>2564</v>
      </c>
      <c r="C1365" s="2"/>
      <c r="D1365" s="2" t="s">
        <v>16</v>
      </c>
      <c r="E1365" s="4">
        <f>78.66*(1-Z1%)</f>
        <v>78.66</v>
      </c>
      <c r="F1365" s="2">
        <v>30</v>
      </c>
      <c r="G1365" s="2"/>
    </row>
    <row r="1366" spans="1:26" customHeight="1" ht="18" hidden="true" outlineLevel="3">
      <c r="A1366" s="2" t="s">
        <v>2565</v>
      </c>
      <c r="B1366" s="3" t="s">
        <v>2566</v>
      </c>
      <c r="C1366" s="2"/>
      <c r="D1366" s="2" t="s">
        <v>16</v>
      </c>
      <c r="E1366" s="4">
        <f>111.15*(1-Z1%)</f>
        <v>111.15</v>
      </c>
      <c r="F1366" s="2">
        <v>26</v>
      </c>
      <c r="G1366" s="2"/>
    </row>
    <row r="1367" spans="1:26" customHeight="1" ht="18" hidden="true" outlineLevel="3">
      <c r="A1367" s="2" t="s">
        <v>2567</v>
      </c>
      <c r="B1367" s="3" t="s">
        <v>2568</v>
      </c>
      <c r="C1367" s="2"/>
      <c r="D1367" s="2" t="s">
        <v>16</v>
      </c>
      <c r="E1367" s="4">
        <f>100.89*(1-Z1%)</f>
        <v>100.89</v>
      </c>
      <c r="F1367" s="2">
        <v>21</v>
      </c>
      <c r="G1367" s="2"/>
    </row>
    <row r="1368" spans="1:26" customHeight="1" ht="35" hidden="true" outlineLevel="3">
      <c r="A1368" s="5" t="s">
        <v>2569</v>
      </c>
      <c r="B1368" s="5"/>
      <c r="C1368" s="5"/>
      <c r="D1368" s="5"/>
      <c r="E1368" s="5"/>
      <c r="F1368" s="5"/>
      <c r="G1368" s="5"/>
    </row>
    <row r="1369" spans="1:26" customHeight="1" ht="18" hidden="true" outlineLevel="3">
      <c r="A1369" s="2" t="s">
        <v>2570</v>
      </c>
      <c r="B1369" s="3" t="s">
        <v>2571</v>
      </c>
      <c r="C1369" s="2"/>
      <c r="D1369" s="2" t="s">
        <v>16</v>
      </c>
      <c r="E1369" s="4">
        <f>118.85*(1-Z1%)</f>
        <v>118.85</v>
      </c>
      <c r="F1369" s="2">
        <v>10</v>
      </c>
      <c r="G1369" s="2"/>
    </row>
    <row r="1370" spans="1:26" customHeight="1" ht="18" hidden="true" outlineLevel="3">
      <c r="A1370" s="2" t="s">
        <v>2572</v>
      </c>
      <c r="B1370" s="3" t="s">
        <v>2573</v>
      </c>
      <c r="C1370" s="2"/>
      <c r="D1370" s="2" t="s">
        <v>16</v>
      </c>
      <c r="E1370" s="4">
        <f>100.04*(1-Z1%)</f>
        <v>100.04</v>
      </c>
      <c r="F1370" s="2">
        <v>23</v>
      </c>
      <c r="G1370" s="2"/>
    </row>
    <row r="1371" spans="1:26" customHeight="1" ht="18" hidden="true" outlineLevel="3">
      <c r="A1371" s="2" t="s">
        <v>2574</v>
      </c>
      <c r="B1371" s="3" t="s">
        <v>2575</v>
      </c>
      <c r="C1371" s="2"/>
      <c r="D1371" s="2" t="s">
        <v>16</v>
      </c>
      <c r="E1371" s="4">
        <f>88.92*(1-Z1%)</f>
        <v>88.92</v>
      </c>
      <c r="F1371" s="2">
        <v>20</v>
      </c>
      <c r="G1371" s="2"/>
    </row>
    <row r="1372" spans="1:26" customHeight="1" ht="18" hidden="true" outlineLevel="3">
      <c r="A1372" s="2" t="s">
        <v>2576</v>
      </c>
      <c r="B1372" s="3" t="s">
        <v>2577</v>
      </c>
      <c r="C1372" s="2"/>
      <c r="D1372" s="2" t="s">
        <v>16</v>
      </c>
      <c r="E1372" s="4">
        <f>64.98*(1-Z1%)</f>
        <v>64.98</v>
      </c>
      <c r="F1372" s="2">
        <v>31</v>
      </c>
      <c r="G1372" s="2"/>
    </row>
    <row r="1373" spans="1:26" customHeight="1" ht="18" hidden="true" outlineLevel="3">
      <c r="A1373" s="2" t="s">
        <v>2578</v>
      </c>
      <c r="B1373" s="3" t="s">
        <v>2579</v>
      </c>
      <c r="C1373" s="2"/>
      <c r="D1373" s="2" t="s">
        <v>16</v>
      </c>
      <c r="E1373" s="4">
        <f>140.89*(1-Z1%)</f>
        <v>140.89</v>
      </c>
      <c r="F1373" s="2">
        <v>4</v>
      </c>
      <c r="G1373" s="2"/>
    </row>
    <row r="1374" spans="1:26" customHeight="1" ht="35" hidden="true" outlineLevel="3">
      <c r="A1374" s="5" t="s">
        <v>2580</v>
      </c>
      <c r="B1374" s="5"/>
      <c r="C1374" s="5"/>
      <c r="D1374" s="5"/>
      <c r="E1374" s="5"/>
      <c r="F1374" s="5"/>
      <c r="G1374" s="5"/>
    </row>
    <row r="1375" spans="1:26" customHeight="1" ht="36" hidden="true" outlineLevel="3">
      <c r="A1375" s="2" t="s">
        <v>2581</v>
      </c>
      <c r="B1375" s="3" t="s">
        <v>2582</v>
      </c>
      <c r="C1375" s="2"/>
      <c r="D1375" s="2" t="s">
        <v>16</v>
      </c>
      <c r="E1375" s="4">
        <f>556.88*(1-Z1%)</f>
        <v>556.88</v>
      </c>
      <c r="F1375" s="2">
        <v>5</v>
      </c>
      <c r="G1375" s="2"/>
    </row>
    <row r="1376" spans="1:26" customHeight="1" ht="35" hidden="true" outlineLevel="2">
      <c r="A1376" s="5" t="s">
        <v>2583</v>
      </c>
      <c r="B1376" s="5"/>
      <c r="C1376" s="5"/>
      <c r="D1376" s="5"/>
      <c r="E1376" s="5"/>
      <c r="F1376" s="5"/>
      <c r="G1376" s="5"/>
    </row>
    <row r="1377" spans="1:26" customHeight="1" ht="18" hidden="true" outlineLevel="2">
      <c r="A1377" s="2" t="s">
        <v>2584</v>
      </c>
      <c r="B1377" s="3" t="s">
        <v>2585</v>
      </c>
      <c r="C1377" s="2"/>
      <c r="D1377" s="2" t="s">
        <v>16</v>
      </c>
      <c r="E1377" s="4">
        <f>49.16*(1-Z1%)</f>
        <v>49.16</v>
      </c>
      <c r="F1377" s="2">
        <v>1</v>
      </c>
      <c r="G1377" s="2"/>
    </row>
    <row r="1378" spans="1:26" customHeight="1" ht="18" hidden="true" outlineLevel="2">
      <c r="A1378" s="2" t="s">
        <v>2586</v>
      </c>
      <c r="B1378" s="3" t="s">
        <v>2587</v>
      </c>
      <c r="C1378" s="2"/>
      <c r="D1378" s="2" t="s">
        <v>16</v>
      </c>
      <c r="E1378" s="4">
        <f>111.15*(1-Z1%)</f>
        <v>111.15</v>
      </c>
      <c r="F1378" s="2">
        <v>29</v>
      </c>
      <c r="G1378" s="2"/>
    </row>
    <row r="1379" spans="1:26" customHeight="1" ht="18" hidden="true" outlineLevel="2">
      <c r="A1379" s="2" t="s">
        <v>2588</v>
      </c>
      <c r="B1379" s="3" t="s">
        <v>2589</v>
      </c>
      <c r="C1379" s="2"/>
      <c r="D1379" s="2" t="s">
        <v>16</v>
      </c>
      <c r="E1379" s="4">
        <f>94.49*(1-Z1%)</f>
        <v>94.49</v>
      </c>
      <c r="F1379" s="2">
        <v>1</v>
      </c>
      <c r="G1379" s="2"/>
    </row>
    <row r="1380" spans="1:26" customHeight="1" ht="35" hidden="true" outlineLevel="2">
      <c r="A1380" s="5" t="s">
        <v>2590</v>
      </c>
      <c r="B1380" s="5"/>
      <c r="C1380" s="5"/>
      <c r="D1380" s="5"/>
      <c r="E1380" s="5"/>
      <c r="F1380" s="5"/>
      <c r="G1380" s="5"/>
    </row>
    <row r="1381" spans="1:26" customHeight="1" ht="35" hidden="true" outlineLevel="3">
      <c r="A1381" s="5" t="s">
        <v>2591</v>
      </c>
      <c r="B1381" s="5"/>
      <c r="C1381" s="5"/>
      <c r="D1381" s="5"/>
      <c r="E1381" s="5"/>
      <c r="F1381" s="5"/>
      <c r="G1381" s="5"/>
    </row>
    <row r="1382" spans="1:26" customHeight="1" ht="36" hidden="true" outlineLevel="3">
      <c r="A1382" s="2" t="s">
        <v>2592</v>
      </c>
      <c r="B1382" s="3" t="s">
        <v>2593</v>
      </c>
      <c r="C1382" s="2"/>
      <c r="D1382" s="2" t="s">
        <v>16</v>
      </c>
      <c r="E1382" s="4">
        <f>630.13*(1-Z1%)</f>
        <v>630.13</v>
      </c>
      <c r="F1382" s="2">
        <v>1</v>
      </c>
      <c r="G1382" s="2"/>
    </row>
    <row r="1383" spans="1:26" customHeight="1" ht="36" hidden="true" outlineLevel="3">
      <c r="A1383" s="2" t="s">
        <v>2594</v>
      </c>
      <c r="B1383" s="3" t="s">
        <v>2595</v>
      </c>
      <c r="C1383" s="2"/>
      <c r="D1383" s="2" t="s">
        <v>16</v>
      </c>
      <c r="E1383" s="4">
        <f>894.56*(1-Z1%)</f>
        <v>894.56</v>
      </c>
      <c r="F1383" s="2">
        <v>3</v>
      </c>
      <c r="G1383" s="2"/>
    </row>
    <row r="1384" spans="1:26" customHeight="1" ht="36" hidden="true" outlineLevel="3">
      <c r="A1384" s="2" t="s">
        <v>2596</v>
      </c>
      <c r="B1384" s="3" t="s">
        <v>2597</v>
      </c>
      <c r="C1384" s="2"/>
      <c r="D1384" s="2" t="s">
        <v>16</v>
      </c>
      <c r="E1384" s="4">
        <f>848.66*(1-Z1%)</f>
        <v>848.66</v>
      </c>
      <c r="F1384" s="2">
        <v>2</v>
      </c>
      <c r="G1384" s="2"/>
    </row>
    <row r="1385" spans="1:26" customHeight="1" ht="36" hidden="true" outlineLevel="3">
      <c r="A1385" s="2" t="s">
        <v>2598</v>
      </c>
      <c r="B1385" s="3" t="s">
        <v>2599</v>
      </c>
      <c r="C1385" s="2"/>
      <c r="D1385" s="2" t="s">
        <v>16</v>
      </c>
      <c r="E1385" s="4">
        <f>634.97*(1-Z1%)</f>
        <v>634.97</v>
      </c>
      <c r="F1385" s="2">
        <v>1</v>
      </c>
      <c r="G1385" s="2"/>
    </row>
    <row r="1386" spans="1:26" customHeight="1" ht="18" hidden="true" outlineLevel="3">
      <c r="A1386" s="2" t="s">
        <v>2600</v>
      </c>
      <c r="B1386" s="3" t="s">
        <v>2601</v>
      </c>
      <c r="C1386" s="2"/>
      <c r="D1386" s="2" t="s">
        <v>16</v>
      </c>
      <c r="E1386" s="4">
        <f>607.80*(1-Z1%)</f>
        <v>607.8</v>
      </c>
      <c r="F1386" s="2">
        <v>3</v>
      </c>
      <c r="G1386" s="2"/>
    </row>
    <row r="1387" spans="1:26" customHeight="1" ht="36" hidden="true" outlineLevel="3">
      <c r="A1387" s="2" t="s">
        <v>2602</v>
      </c>
      <c r="B1387" s="3" t="s">
        <v>2603</v>
      </c>
      <c r="C1387" s="2"/>
      <c r="D1387" s="2" t="s">
        <v>16</v>
      </c>
      <c r="E1387" s="4">
        <f>832.57*(1-Z1%)</f>
        <v>832.57</v>
      </c>
      <c r="F1387" s="2">
        <v>1</v>
      </c>
      <c r="G1387" s="2"/>
    </row>
    <row r="1388" spans="1:26" customHeight="1" ht="36" hidden="true" outlineLevel="3">
      <c r="A1388" s="2" t="s">
        <v>2604</v>
      </c>
      <c r="B1388" s="3" t="s">
        <v>2605</v>
      </c>
      <c r="C1388" s="2"/>
      <c r="D1388" s="2" t="s">
        <v>16</v>
      </c>
      <c r="E1388" s="4">
        <f>790.15*(1-Z1%)</f>
        <v>790.15</v>
      </c>
      <c r="F1388" s="2">
        <v>1</v>
      </c>
      <c r="G1388" s="2"/>
    </row>
    <row r="1389" spans="1:26" customHeight="1" ht="36" hidden="true" outlineLevel="3">
      <c r="A1389" s="2" t="s">
        <v>2606</v>
      </c>
      <c r="B1389" s="3" t="s">
        <v>2607</v>
      </c>
      <c r="C1389" s="2"/>
      <c r="D1389" s="2" t="s">
        <v>16</v>
      </c>
      <c r="E1389" s="4">
        <f>1693.68*(1-Z1%)</f>
        <v>1693.68</v>
      </c>
      <c r="F1389" s="2">
        <v>2</v>
      </c>
      <c r="G1389" s="2"/>
    </row>
    <row r="1390" spans="1:26" customHeight="1" ht="36" hidden="true" outlineLevel="3">
      <c r="A1390" s="2" t="s">
        <v>2608</v>
      </c>
      <c r="B1390" s="3" t="s">
        <v>2609</v>
      </c>
      <c r="C1390" s="2"/>
      <c r="D1390" s="2" t="s">
        <v>16</v>
      </c>
      <c r="E1390" s="4">
        <f>1693.68*(1-Z1%)</f>
        <v>1693.68</v>
      </c>
      <c r="F1390" s="2">
        <v>1</v>
      </c>
      <c r="G1390" s="2"/>
    </row>
    <row r="1391" spans="1:26" customHeight="1" ht="18" hidden="true" outlineLevel="3">
      <c r="A1391" s="2" t="s">
        <v>2610</v>
      </c>
      <c r="B1391" s="3" t="s">
        <v>2611</v>
      </c>
      <c r="C1391" s="2"/>
      <c r="D1391" s="2" t="s">
        <v>16</v>
      </c>
      <c r="E1391" s="4">
        <f>695.58*(1-Z1%)</f>
        <v>695.58</v>
      </c>
      <c r="F1391" s="2">
        <v>4</v>
      </c>
      <c r="G1391" s="2"/>
    </row>
    <row r="1392" spans="1:26" customHeight="1" ht="18" hidden="true" outlineLevel="3">
      <c r="A1392" s="2" t="s">
        <v>2612</v>
      </c>
      <c r="B1392" s="3" t="s">
        <v>2613</v>
      </c>
      <c r="C1392" s="2"/>
      <c r="D1392" s="2" t="s">
        <v>16</v>
      </c>
      <c r="E1392" s="4">
        <f>1153.95*(1-Z1%)</f>
        <v>1153.95</v>
      </c>
      <c r="F1392" s="2">
        <v>2</v>
      </c>
      <c r="G1392" s="2"/>
    </row>
    <row r="1393" spans="1:26" customHeight="1" ht="18" hidden="true" outlineLevel="3">
      <c r="A1393" s="2" t="s">
        <v>2614</v>
      </c>
      <c r="B1393" s="3" t="s">
        <v>2615</v>
      </c>
      <c r="C1393" s="2"/>
      <c r="D1393" s="2" t="s">
        <v>16</v>
      </c>
      <c r="E1393" s="4">
        <f>1040.09*(1-Z1%)</f>
        <v>1040.09</v>
      </c>
      <c r="F1393" s="2">
        <v>1</v>
      </c>
      <c r="G1393" s="2"/>
    </row>
    <row r="1394" spans="1:26" customHeight="1" ht="18" hidden="true" outlineLevel="3">
      <c r="A1394" s="2" t="s">
        <v>2616</v>
      </c>
      <c r="B1394" s="3" t="s">
        <v>2617</v>
      </c>
      <c r="C1394" s="2"/>
      <c r="D1394" s="2" t="s">
        <v>16</v>
      </c>
      <c r="E1394" s="4">
        <f>569.01*(1-Z1%)</f>
        <v>569.01</v>
      </c>
      <c r="F1394" s="2">
        <v>2</v>
      </c>
      <c r="G1394" s="2"/>
    </row>
    <row r="1395" spans="1:26" customHeight="1" ht="36" hidden="true" outlineLevel="3">
      <c r="A1395" s="2" t="s">
        <v>2618</v>
      </c>
      <c r="B1395" s="3" t="s">
        <v>2619</v>
      </c>
      <c r="C1395" s="2"/>
      <c r="D1395" s="2" t="s">
        <v>16</v>
      </c>
      <c r="E1395" s="4">
        <f>1659.08*(1-Z1%)</f>
        <v>1659.08</v>
      </c>
      <c r="F1395" s="2">
        <v>1</v>
      </c>
      <c r="G1395" s="2"/>
    </row>
    <row r="1396" spans="1:26" customHeight="1" ht="36" hidden="true" outlineLevel="3">
      <c r="A1396" s="2" t="s">
        <v>2620</v>
      </c>
      <c r="B1396" s="3" t="s">
        <v>2621</v>
      </c>
      <c r="C1396" s="2"/>
      <c r="D1396" s="2" t="s">
        <v>16</v>
      </c>
      <c r="E1396" s="4">
        <f>1659.08*(1-Z1%)</f>
        <v>1659.08</v>
      </c>
      <c r="F1396" s="2">
        <v>1</v>
      </c>
      <c r="G1396" s="2"/>
    </row>
    <row r="1397" spans="1:26" customHeight="1" ht="36" hidden="true" outlineLevel="3">
      <c r="A1397" s="2" t="s">
        <v>2622</v>
      </c>
      <c r="B1397" s="3" t="s">
        <v>2623</v>
      </c>
      <c r="C1397" s="2"/>
      <c r="D1397" s="2" t="s">
        <v>16</v>
      </c>
      <c r="E1397" s="4">
        <f>553.49*(1-Z1%)</f>
        <v>553.49</v>
      </c>
      <c r="F1397" s="2">
        <v>1</v>
      </c>
      <c r="G1397" s="2"/>
    </row>
    <row r="1398" spans="1:26" customHeight="1" ht="36" hidden="true" outlineLevel="3">
      <c r="A1398" s="2" t="s">
        <v>2624</v>
      </c>
      <c r="B1398" s="3" t="s">
        <v>2625</v>
      </c>
      <c r="C1398" s="2"/>
      <c r="D1398" s="2" t="s">
        <v>16</v>
      </c>
      <c r="E1398" s="4">
        <f>757.19*(1-Z1%)</f>
        <v>757.19</v>
      </c>
      <c r="F1398" s="2">
        <v>7</v>
      </c>
      <c r="G1398" s="2"/>
    </row>
    <row r="1399" spans="1:26" customHeight="1" ht="36" hidden="true" outlineLevel="3">
      <c r="A1399" s="2" t="s">
        <v>2626</v>
      </c>
      <c r="B1399" s="3" t="s">
        <v>2627</v>
      </c>
      <c r="C1399" s="2"/>
      <c r="D1399" s="2" t="s">
        <v>16</v>
      </c>
      <c r="E1399" s="4">
        <f>757.19*(1-Z1%)</f>
        <v>757.19</v>
      </c>
      <c r="F1399" s="2">
        <v>3</v>
      </c>
      <c r="G1399" s="2"/>
    </row>
    <row r="1400" spans="1:26" customHeight="1" ht="18" hidden="true" outlineLevel="3">
      <c r="A1400" s="2" t="s">
        <v>2628</v>
      </c>
      <c r="B1400" s="3" t="s">
        <v>2629</v>
      </c>
      <c r="C1400" s="2"/>
      <c r="D1400" s="2" t="s">
        <v>16</v>
      </c>
      <c r="E1400" s="4">
        <f>776.89*(1-Z1%)</f>
        <v>776.89</v>
      </c>
      <c r="F1400" s="2">
        <v>4</v>
      </c>
      <c r="G1400" s="2"/>
    </row>
    <row r="1401" spans="1:26" customHeight="1" ht="36" hidden="true" outlineLevel="3">
      <c r="A1401" s="2" t="s">
        <v>2630</v>
      </c>
      <c r="B1401" s="3" t="s">
        <v>2631</v>
      </c>
      <c r="C1401" s="2"/>
      <c r="D1401" s="2" t="s">
        <v>16</v>
      </c>
      <c r="E1401" s="4">
        <f>776.89*(1-Z1%)</f>
        <v>776.89</v>
      </c>
      <c r="F1401" s="2">
        <v>4</v>
      </c>
      <c r="G1401" s="2"/>
    </row>
    <row r="1402" spans="1:26" customHeight="1" ht="36" hidden="true" outlineLevel="3">
      <c r="A1402" s="2" t="s">
        <v>2632</v>
      </c>
      <c r="B1402" s="3" t="s">
        <v>2633</v>
      </c>
      <c r="C1402" s="2"/>
      <c r="D1402" s="2" t="s">
        <v>16</v>
      </c>
      <c r="E1402" s="4">
        <f>601.72*(1-Z1%)</f>
        <v>601.72</v>
      </c>
      <c r="F1402" s="2">
        <v>5</v>
      </c>
      <c r="G1402" s="2"/>
    </row>
    <row r="1403" spans="1:26" customHeight="1" ht="36" hidden="true" outlineLevel="3">
      <c r="A1403" s="2" t="s">
        <v>2634</v>
      </c>
      <c r="B1403" s="3" t="s">
        <v>2635</v>
      </c>
      <c r="C1403" s="2"/>
      <c r="D1403" s="2" t="s">
        <v>16</v>
      </c>
      <c r="E1403" s="4">
        <f>601.72*(1-Z1%)</f>
        <v>601.72</v>
      </c>
      <c r="F1403" s="2">
        <v>2</v>
      </c>
      <c r="G1403" s="2"/>
    </row>
    <row r="1404" spans="1:26" customHeight="1" ht="36" hidden="true" outlineLevel="3">
      <c r="A1404" s="2" t="s">
        <v>2636</v>
      </c>
      <c r="B1404" s="3" t="s">
        <v>2637</v>
      </c>
      <c r="C1404" s="2"/>
      <c r="D1404" s="2" t="s">
        <v>16</v>
      </c>
      <c r="E1404" s="4">
        <f>741.52*(1-Z1%)</f>
        <v>741.52</v>
      </c>
      <c r="F1404" s="2">
        <v>3</v>
      </c>
      <c r="G1404" s="2"/>
    </row>
    <row r="1405" spans="1:26" customHeight="1" ht="18" hidden="true" outlineLevel="3">
      <c r="A1405" s="2" t="s">
        <v>2638</v>
      </c>
      <c r="B1405" s="3" t="s">
        <v>2639</v>
      </c>
      <c r="C1405" s="2"/>
      <c r="D1405" s="2" t="s">
        <v>16</v>
      </c>
      <c r="E1405" s="4">
        <f>738.92*(1-Z1%)</f>
        <v>738.92</v>
      </c>
      <c r="F1405" s="2">
        <v>5</v>
      </c>
      <c r="G1405" s="2"/>
    </row>
    <row r="1406" spans="1:26" customHeight="1" ht="18" hidden="true" outlineLevel="3">
      <c r="A1406" s="2" t="s">
        <v>2640</v>
      </c>
      <c r="B1406" s="3" t="s">
        <v>2641</v>
      </c>
      <c r="C1406" s="2"/>
      <c r="D1406" s="2" t="s">
        <v>16</v>
      </c>
      <c r="E1406" s="4">
        <f>738.92*(1-Z1%)</f>
        <v>738.92</v>
      </c>
      <c r="F1406" s="2">
        <v>3</v>
      </c>
      <c r="G1406" s="2"/>
    </row>
    <row r="1407" spans="1:26" customHeight="1" ht="18" hidden="true" outlineLevel="3">
      <c r="A1407" s="2" t="s">
        <v>2642</v>
      </c>
      <c r="B1407" s="3" t="s">
        <v>2643</v>
      </c>
      <c r="C1407" s="2"/>
      <c r="D1407" s="2" t="s">
        <v>16</v>
      </c>
      <c r="E1407" s="4">
        <f>666.23*(1-Z1%)</f>
        <v>666.23</v>
      </c>
      <c r="F1407" s="2">
        <v>3</v>
      </c>
      <c r="G1407" s="2"/>
    </row>
    <row r="1408" spans="1:26" customHeight="1" ht="18" hidden="true" outlineLevel="3">
      <c r="A1408" s="2" t="s">
        <v>2644</v>
      </c>
      <c r="B1408" s="3" t="s">
        <v>2645</v>
      </c>
      <c r="C1408" s="2"/>
      <c r="D1408" s="2" t="s">
        <v>16</v>
      </c>
      <c r="E1408" s="4">
        <f>620.73*(1-Z1%)</f>
        <v>620.73</v>
      </c>
      <c r="F1408" s="2">
        <v>2</v>
      </c>
      <c r="G1408" s="2"/>
    </row>
    <row r="1409" spans="1:26" customHeight="1" ht="36" hidden="true" outlineLevel="3">
      <c r="A1409" s="2" t="s">
        <v>2646</v>
      </c>
      <c r="B1409" s="3" t="s">
        <v>2647</v>
      </c>
      <c r="C1409" s="2"/>
      <c r="D1409" s="2" t="s">
        <v>16</v>
      </c>
      <c r="E1409" s="4">
        <f>1241.22*(1-Z1%)</f>
        <v>1241.22</v>
      </c>
      <c r="F1409" s="2">
        <v>6</v>
      </c>
      <c r="G1409" s="2"/>
    </row>
    <row r="1410" spans="1:26" customHeight="1" ht="36" hidden="true" outlineLevel="3">
      <c r="A1410" s="2" t="s">
        <v>2648</v>
      </c>
      <c r="B1410" s="3" t="s">
        <v>2649</v>
      </c>
      <c r="C1410" s="2"/>
      <c r="D1410" s="2" t="s">
        <v>16</v>
      </c>
      <c r="E1410" s="4">
        <f>1241.22*(1-Z1%)</f>
        <v>1241.22</v>
      </c>
      <c r="F1410" s="2">
        <v>3</v>
      </c>
      <c r="G1410" s="2"/>
    </row>
    <row r="1411" spans="1:26" customHeight="1" ht="36" hidden="true" outlineLevel="3">
      <c r="A1411" s="2" t="s">
        <v>2650</v>
      </c>
      <c r="B1411" s="3" t="s">
        <v>2651</v>
      </c>
      <c r="C1411" s="2"/>
      <c r="D1411" s="2" t="s">
        <v>16</v>
      </c>
      <c r="E1411" s="4">
        <f>1256.67*(1-Z1%)</f>
        <v>1256.67</v>
      </c>
      <c r="F1411" s="2">
        <v>3</v>
      </c>
      <c r="G1411" s="2"/>
    </row>
    <row r="1412" spans="1:26" customHeight="1" ht="36" hidden="true" outlineLevel="3">
      <c r="A1412" s="2" t="s">
        <v>2652</v>
      </c>
      <c r="B1412" s="3" t="s">
        <v>2653</v>
      </c>
      <c r="C1412" s="2"/>
      <c r="D1412" s="2" t="s">
        <v>16</v>
      </c>
      <c r="E1412" s="4">
        <f>1487.50*(1-Z1%)</f>
        <v>1487.5</v>
      </c>
      <c r="F1412" s="2">
        <v>1</v>
      </c>
      <c r="G1412" s="2"/>
    </row>
    <row r="1413" spans="1:26" customHeight="1" ht="36" hidden="true" outlineLevel="3">
      <c r="A1413" s="2" t="s">
        <v>2654</v>
      </c>
      <c r="B1413" s="3" t="s">
        <v>2655</v>
      </c>
      <c r="C1413" s="2"/>
      <c r="D1413" s="2" t="s">
        <v>16</v>
      </c>
      <c r="E1413" s="4">
        <f>1326.07*(1-Z1%)</f>
        <v>1326.07</v>
      </c>
      <c r="F1413" s="2">
        <v>1</v>
      </c>
      <c r="G1413" s="2"/>
    </row>
    <row r="1414" spans="1:26" customHeight="1" ht="18" hidden="true" outlineLevel="3">
      <c r="A1414" s="2" t="s">
        <v>2656</v>
      </c>
      <c r="B1414" s="3" t="s">
        <v>2657</v>
      </c>
      <c r="C1414" s="2"/>
      <c r="D1414" s="2" t="s">
        <v>16</v>
      </c>
      <c r="E1414" s="4">
        <f>1160.80*(1-Z1%)</f>
        <v>1160.8</v>
      </c>
      <c r="F1414" s="2">
        <v>2</v>
      </c>
      <c r="G1414" s="2"/>
    </row>
    <row r="1415" spans="1:26" customHeight="1" ht="36" hidden="true" outlineLevel="3">
      <c r="A1415" s="2" t="s">
        <v>2658</v>
      </c>
      <c r="B1415" s="3" t="s">
        <v>2659</v>
      </c>
      <c r="C1415" s="2"/>
      <c r="D1415" s="2" t="s">
        <v>16</v>
      </c>
      <c r="E1415" s="4">
        <f>1653.90*(1-Z1%)</f>
        <v>1653.9</v>
      </c>
      <c r="F1415" s="2">
        <v>1</v>
      </c>
      <c r="G1415" s="2"/>
    </row>
    <row r="1416" spans="1:26" customHeight="1" ht="36" hidden="true" outlineLevel="3">
      <c r="A1416" s="2" t="s">
        <v>2660</v>
      </c>
      <c r="B1416" s="3" t="s">
        <v>2661</v>
      </c>
      <c r="C1416" s="2"/>
      <c r="D1416" s="2" t="s">
        <v>16</v>
      </c>
      <c r="E1416" s="4">
        <f>1098.62*(1-Z1%)</f>
        <v>1098.62</v>
      </c>
      <c r="F1416" s="2">
        <v>1</v>
      </c>
      <c r="G1416" s="2"/>
    </row>
    <row r="1417" spans="1:26" customHeight="1" ht="35" hidden="true" outlineLevel="2">
      <c r="A1417" s="5" t="s">
        <v>2662</v>
      </c>
      <c r="B1417" s="5"/>
      <c r="C1417" s="5"/>
      <c r="D1417" s="5"/>
      <c r="E1417" s="5"/>
      <c r="F1417" s="5"/>
      <c r="G1417" s="5"/>
    </row>
    <row r="1418" spans="1:26" customHeight="1" ht="35" hidden="true" outlineLevel="3">
      <c r="A1418" s="5" t="s">
        <v>2663</v>
      </c>
      <c r="B1418" s="5"/>
      <c r="C1418" s="5"/>
      <c r="D1418" s="5"/>
      <c r="E1418" s="5"/>
      <c r="F1418" s="5"/>
      <c r="G1418" s="5"/>
    </row>
    <row r="1419" spans="1:26" customHeight="1" ht="18" hidden="true" outlineLevel="3">
      <c r="A1419" s="2" t="s">
        <v>2664</v>
      </c>
      <c r="B1419" s="3" t="s">
        <v>2665</v>
      </c>
      <c r="C1419" s="2"/>
      <c r="D1419" s="2" t="s">
        <v>16</v>
      </c>
      <c r="E1419" s="4">
        <f>135.95*(1-Z1%)</f>
        <v>135.95</v>
      </c>
      <c r="F1419" s="2">
        <v>9</v>
      </c>
      <c r="G1419" s="2"/>
    </row>
    <row r="1420" spans="1:26" customHeight="1" ht="18" hidden="true" outlineLevel="3">
      <c r="A1420" s="2" t="s">
        <v>2666</v>
      </c>
      <c r="B1420" s="3" t="s">
        <v>2667</v>
      </c>
      <c r="C1420" s="2"/>
      <c r="D1420" s="2" t="s">
        <v>16</v>
      </c>
      <c r="E1420" s="4">
        <f>136.80*(1-Z1%)</f>
        <v>136.8</v>
      </c>
      <c r="F1420" s="2">
        <v>4</v>
      </c>
      <c r="G1420" s="2"/>
    </row>
    <row r="1421" spans="1:26" customHeight="1" ht="18" hidden="true" outlineLevel="3">
      <c r="A1421" s="2" t="s">
        <v>2668</v>
      </c>
      <c r="B1421" s="3" t="s">
        <v>2669</v>
      </c>
      <c r="C1421" s="2"/>
      <c r="D1421" s="2" t="s">
        <v>16</v>
      </c>
      <c r="E1421" s="4">
        <f>192.38*(1-Z1%)</f>
        <v>192.38</v>
      </c>
      <c r="F1421" s="2">
        <v>9</v>
      </c>
      <c r="G1421" s="2"/>
    </row>
    <row r="1422" spans="1:26" customHeight="1" ht="36" hidden="true" outlineLevel="3">
      <c r="A1422" s="2" t="s">
        <v>2670</v>
      </c>
      <c r="B1422" s="3" t="s">
        <v>2671</v>
      </c>
      <c r="C1422" s="2"/>
      <c r="D1422" s="2" t="s">
        <v>16</v>
      </c>
      <c r="E1422" s="4">
        <f>274.16*(1-Z1%)</f>
        <v>274.16</v>
      </c>
      <c r="F1422" s="2">
        <v>2</v>
      </c>
      <c r="G1422" s="2"/>
    </row>
    <row r="1423" spans="1:26" customHeight="1" ht="18" hidden="true" outlineLevel="3">
      <c r="A1423" s="2" t="s">
        <v>2672</v>
      </c>
      <c r="B1423" s="3" t="s">
        <v>2673</v>
      </c>
      <c r="C1423" s="2"/>
      <c r="D1423" s="2" t="s">
        <v>16</v>
      </c>
      <c r="E1423" s="4">
        <f>267.70*(1-Z1%)</f>
        <v>267.7</v>
      </c>
      <c r="F1423" s="2">
        <v>2</v>
      </c>
      <c r="G1423" s="2"/>
    </row>
    <row r="1424" spans="1:26" customHeight="1" ht="18" hidden="true" outlineLevel="3">
      <c r="A1424" s="2" t="s">
        <v>2674</v>
      </c>
      <c r="B1424" s="3" t="s">
        <v>2675</v>
      </c>
      <c r="C1424" s="2"/>
      <c r="D1424" s="2" t="s">
        <v>16</v>
      </c>
      <c r="E1424" s="4">
        <f>269.44*(1-Z1%)</f>
        <v>269.44</v>
      </c>
      <c r="F1424" s="2">
        <v>3</v>
      </c>
      <c r="G1424" s="2"/>
    </row>
    <row r="1425" spans="1:26" customHeight="1" ht="36" hidden="true" outlineLevel="3">
      <c r="A1425" s="2" t="s">
        <v>2676</v>
      </c>
      <c r="B1425" s="3" t="s">
        <v>2677</v>
      </c>
      <c r="C1425" s="2"/>
      <c r="D1425" s="2" t="s">
        <v>16</v>
      </c>
      <c r="E1425" s="4">
        <f>334.81*(1-Z1%)</f>
        <v>334.81</v>
      </c>
      <c r="F1425" s="2">
        <v>2</v>
      </c>
      <c r="G1425" s="2"/>
    </row>
    <row r="1426" spans="1:26" customHeight="1" ht="36" hidden="true" outlineLevel="3">
      <c r="A1426" s="2" t="s">
        <v>2678</v>
      </c>
      <c r="B1426" s="3" t="s">
        <v>2679</v>
      </c>
      <c r="C1426" s="2"/>
      <c r="D1426" s="2" t="s">
        <v>16</v>
      </c>
      <c r="E1426" s="4">
        <f>361.40*(1-Z1%)</f>
        <v>361.4</v>
      </c>
      <c r="F1426" s="2">
        <v>2</v>
      </c>
      <c r="G1426" s="2"/>
    </row>
    <row r="1427" spans="1:26" customHeight="1" ht="36" hidden="true" outlineLevel="3">
      <c r="A1427" s="2" t="s">
        <v>2680</v>
      </c>
      <c r="B1427" s="3" t="s">
        <v>2681</v>
      </c>
      <c r="C1427" s="2"/>
      <c r="D1427" s="2" t="s">
        <v>16</v>
      </c>
      <c r="E1427" s="4">
        <f>277.41*(1-Z1%)</f>
        <v>277.41</v>
      </c>
      <c r="F1427" s="2">
        <v>3</v>
      </c>
      <c r="G1427" s="2"/>
    </row>
    <row r="1428" spans="1:26" customHeight="1" ht="36" hidden="true" outlineLevel="3">
      <c r="A1428" s="2" t="s">
        <v>2682</v>
      </c>
      <c r="B1428" s="3" t="s">
        <v>2683</v>
      </c>
      <c r="C1428" s="2"/>
      <c r="D1428" s="2" t="s">
        <v>16</v>
      </c>
      <c r="E1428" s="4">
        <f>277.41*(1-Z1%)</f>
        <v>277.41</v>
      </c>
      <c r="F1428" s="2">
        <v>7</v>
      </c>
      <c r="G1428" s="2"/>
    </row>
    <row r="1429" spans="1:26" customHeight="1" ht="18" hidden="true" outlineLevel="3">
      <c r="A1429" s="2" t="s">
        <v>2684</v>
      </c>
      <c r="B1429" s="3" t="s">
        <v>2685</v>
      </c>
      <c r="C1429" s="2"/>
      <c r="D1429" s="2" t="s">
        <v>16</v>
      </c>
      <c r="E1429" s="4">
        <f>247.76*(1-Z1%)</f>
        <v>247.76</v>
      </c>
      <c r="F1429" s="2">
        <v>4</v>
      </c>
      <c r="G1429" s="2"/>
    </row>
    <row r="1430" spans="1:26" customHeight="1" ht="18" hidden="true" outlineLevel="3">
      <c r="A1430" s="2" t="s">
        <v>2686</v>
      </c>
      <c r="B1430" s="3" t="s">
        <v>2687</v>
      </c>
      <c r="C1430" s="2"/>
      <c r="D1430" s="2" t="s">
        <v>16</v>
      </c>
      <c r="E1430" s="4">
        <f>323.42*(1-Z1%)</f>
        <v>323.42</v>
      </c>
      <c r="F1430" s="2">
        <v>1</v>
      </c>
      <c r="G1430" s="2"/>
    </row>
    <row r="1431" spans="1:26" customHeight="1" ht="36" hidden="true" outlineLevel="3">
      <c r="A1431" s="2" t="s">
        <v>2688</v>
      </c>
      <c r="B1431" s="3" t="s">
        <v>2689</v>
      </c>
      <c r="C1431" s="2"/>
      <c r="D1431" s="2" t="s">
        <v>16</v>
      </c>
      <c r="E1431" s="4">
        <f>444.27*(1-Z1%)</f>
        <v>444.27</v>
      </c>
      <c r="F1431" s="2">
        <v>1</v>
      </c>
      <c r="G1431" s="2"/>
    </row>
    <row r="1432" spans="1:26" customHeight="1" ht="36" hidden="true" outlineLevel="3">
      <c r="A1432" s="2" t="s">
        <v>2690</v>
      </c>
      <c r="B1432" s="3" t="s">
        <v>2691</v>
      </c>
      <c r="C1432" s="2"/>
      <c r="D1432" s="2" t="s">
        <v>16</v>
      </c>
      <c r="E1432" s="4">
        <f>359.10*(1-Z1%)</f>
        <v>359.1</v>
      </c>
      <c r="F1432" s="2">
        <v>2</v>
      </c>
      <c r="G1432" s="2"/>
    </row>
    <row r="1433" spans="1:26" customHeight="1" ht="18" hidden="true" outlineLevel="3">
      <c r="A1433" s="2" t="s">
        <v>2692</v>
      </c>
      <c r="B1433" s="3" t="s">
        <v>2693</v>
      </c>
      <c r="C1433" s="2"/>
      <c r="D1433" s="2" t="s">
        <v>16</v>
      </c>
      <c r="E1433" s="4">
        <f>425.47*(1-Z1%)</f>
        <v>425.47</v>
      </c>
      <c r="F1433" s="2">
        <v>2</v>
      </c>
      <c r="G1433" s="2"/>
    </row>
    <row r="1434" spans="1:26" customHeight="1" ht="18" hidden="true" outlineLevel="3">
      <c r="A1434" s="2" t="s">
        <v>2694</v>
      </c>
      <c r="B1434" s="3" t="s">
        <v>2695</v>
      </c>
      <c r="C1434" s="2"/>
      <c r="D1434" s="2" t="s">
        <v>16</v>
      </c>
      <c r="E1434" s="4">
        <f>273.93*(1-Z1%)</f>
        <v>273.93</v>
      </c>
      <c r="F1434" s="2">
        <v>1</v>
      </c>
      <c r="G1434" s="2"/>
    </row>
    <row r="1435" spans="1:26" customHeight="1" ht="18" hidden="true" outlineLevel="3">
      <c r="A1435" s="2" t="s">
        <v>2696</v>
      </c>
      <c r="B1435" s="3" t="s">
        <v>2697</v>
      </c>
      <c r="C1435" s="2"/>
      <c r="D1435" s="2" t="s">
        <v>16</v>
      </c>
      <c r="E1435" s="4">
        <f>324.58*(1-Z1%)</f>
        <v>324.58</v>
      </c>
      <c r="F1435" s="2">
        <v>2</v>
      </c>
      <c r="G1435" s="2"/>
    </row>
    <row r="1436" spans="1:26" customHeight="1" ht="35" hidden="true" outlineLevel="3">
      <c r="A1436" s="5" t="s">
        <v>2698</v>
      </c>
      <c r="B1436" s="5"/>
      <c r="C1436" s="5"/>
      <c r="D1436" s="5"/>
      <c r="E1436" s="5"/>
      <c r="F1436" s="5"/>
      <c r="G1436" s="5"/>
    </row>
    <row r="1437" spans="1:26" customHeight="1" ht="18" hidden="true" outlineLevel="3">
      <c r="A1437" s="2" t="s">
        <v>2699</v>
      </c>
      <c r="B1437" s="3" t="s">
        <v>2700</v>
      </c>
      <c r="C1437" s="2"/>
      <c r="D1437" s="2" t="s">
        <v>16</v>
      </c>
      <c r="E1437" s="4">
        <f>252.23*(1-Z1%)</f>
        <v>252.23</v>
      </c>
      <c r="F1437" s="2">
        <v>5</v>
      </c>
      <c r="G1437" s="2"/>
    </row>
    <row r="1438" spans="1:26" customHeight="1" ht="18" hidden="true" outlineLevel="3">
      <c r="A1438" s="2" t="s">
        <v>2701</v>
      </c>
      <c r="B1438" s="3" t="s">
        <v>2702</v>
      </c>
      <c r="C1438" s="2"/>
      <c r="D1438" s="2" t="s">
        <v>16</v>
      </c>
      <c r="E1438" s="4">
        <f>354.98*(1-Z1%)</f>
        <v>354.98</v>
      </c>
      <c r="F1438" s="2">
        <v>3</v>
      </c>
      <c r="G1438" s="2"/>
    </row>
    <row r="1439" spans="1:26" customHeight="1" ht="18" hidden="true" outlineLevel="3">
      <c r="A1439" s="2" t="s">
        <v>2703</v>
      </c>
      <c r="B1439" s="3" t="s">
        <v>2704</v>
      </c>
      <c r="C1439" s="2"/>
      <c r="D1439" s="2" t="s">
        <v>16</v>
      </c>
      <c r="E1439" s="4">
        <f>226.43*(1-Z1%)</f>
        <v>226.43</v>
      </c>
      <c r="F1439" s="2">
        <v>2</v>
      </c>
      <c r="G1439" s="2"/>
    </row>
    <row r="1440" spans="1:26" customHeight="1" ht="36" hidden="true" outlineLevel="3">
      <c r="A1440" s="2" t="s">
        <v>2705</v>
      </c>
      <c r="B1440" s="3" t="s">
        <v>2706</v>
      </c>
      <c r="C1440" s="2"/>
      <c r="D1440" s="2" t="s">
        <v>16</v>
      </c>
      <c r="E1440" s="4">
        <f>107.78*(1-Z1%)</f>
        <v>107.78</v>
      </c>
      <c r="F1440" s="2">
        <v>1</v>
      </c>
      <c r="G1440" s="2"/>
    </row>
    <row r="1441" spans="1:26" customHeight="1" ht="36" hidden="true" outlineLevel="3">
      <c r="A1441" s="2" t="s">
        <v>2707</v>
      </c>
      <c r="B1441" s="3" t="s">
        <v>2708</v>
      </c>
      <c r="C1441" s="2"/>
      <c r="D1441" s="2" t="s">
        <v>16</v>
      </c>
      <c r="E1441" s="4">
        <f>284.91*(1-Z1%)</f>
        <v>284.91</v>
      </c>
      <c r="F1441" s="2">
        <v>7</v>
      </c>
      <c r="G1441" s="2"/>
    </row>
    <row r="1442" spans="1:26" customHeight="1" ht="36" hidden="true" outlineLevel="3">
      <c r="A1442" s="2" t="s">
        <v>2709</v>
      </c>
      <c r="B1442" s="3" t="s">
        <v>2710</v>
      </c>
      <c r="C1442" s="2"/>
      <c r="D1442" s="2" t="s">
        <v>16</v>
      </c>
      <c r="E1442" s="4">
        <f>180.28*(1-Z1%)</f>
        <v>180.28</v>
      </c>
      <c r="F1442" s="2">
        <v>19</v>
      </c>
      <c r="G1442" s="2"/>
    </row>
    <row r="1443" spans="1:26" customHeight="1" ht="35" hidden="true" outlineLevel="2">
      <c r="A1443" s="5" t="s">
        <v>2711</v>
      </c>
      <c r="B1443" s="5"/>
      <c r="C1443" s="5"/>
      <c r="D1443" s="5"/>
      <c r="E1443" s="5"/>
      <c r="F1443" s="5"/>
      <c r="G1443" s="5"/>
    </row>
    <row r="1444" spans="1:26" customHeight="1" ht="35" hidden="true" outlineLevel="3">
      <c r="A1444" s="5" t="s">
        <v>2712</v>
      </c>
      <c r="B1444" s="5"/>
      <c r="C1444" s="5"/>
      <c r="D1444" s="5"/>
      <c r="E1444" s="5"/>
      <c r="F1444" s="5"/>
      <c r="G1444" s="5"/>
    </row>
    <row r="1445" spans="1:26" customHeight="1" ht="35" hidden="true" outlineLevel="4">
      <c r="A1445" s="5" t="s">
        <v>2713</v>
      </c>
      <c r="B1445" s="5"/>
      <c r="C1445" s="5"/>
      <c r="D1445" s="5"/>
      <c r="E1445" s="5"/>
      <c r="F1445" s="5"/>
      <c r="G1445" s="5"/>
    </row>
    <row r="1446" spans="1:26" customHeight="1" ht="36" hidden="true" outlineLevel="4">
      <c r="A1446" s="2" t="s">
        <v>2714</v>
      </c>
      <c r="B1446" s="3" t="s">
        <v>2715</v>
      </c>
      <c r="C1446" s="2"/>
      <c r="D1446" s="2" t="s">
        <v>16</v>
      </c>
      <c r="E1446" s="4">
        <f>220.98*(1-Z1%)</f>
        <v>220.98</v>
      </c>
      <c r="F1446" s="2">
        <v>1</v>
      </c>
      <c r="G1446" s="2"/>
    </row>
    <row r="1447" spans="1:26" customHeight="1" ht="18" hidden="true" outlineLevel="4">
      <c r="A1447" s="2" t="s">
        <v>2716</v>
      </c>
      <c r="B1447" s="3" t="s">
        <v>2717</v>
      </c>
      <c r="C1447" s="2"/>
      <c r="D1447" s="2" t="s">
        <v>16</v>
      </c>
      <c r="E1447" s="4">
        <f>126.54*(1-Z1%)</f>
        <v>126.54</v>
      </c>
      <c r="F1447" s="2">
        <v>7</v>
      </c>
      <c r="G1447" s="2"/>
    </row>
    <row r="1448" spans="1:26" customHeight="1" ht="18" hidden="true" outlineLevel="4">
      <c r="A1448" s="2" t="s">
        <v>2718</v>
      </c>
      <c r="B1448" s="3" t="s">
        <v>2719</v>
      </c>
      <c r="C1448" s="2"/>
      <c r="D1448" s="2" t="s">
        <v>16</v>
      </c>
      <c r="E1448" s="4">
        <f>273.89*(1-Z1%)</f>
        <v>273.89</v>
      </c>
      <c r="F1448" s="2">
        <v>1</v>
      </c>
      <c r="G1448" s="2"/>
    </row>
    <row r="1449" spans="1:26" customHeight="1" ht="18" hidden="true" outlineLevel="4">
      <c r="A1449" s="2" t="s">
        <v>2720</v>
      </c>
      <c r="B1449" s="3" t="s">
        <v>2721</v>
      </c>
      <c r="C1449" s="2"/>
      <c r="D1449" s="2" t="s">
        <v>16</v>
      </c>
      <c r="E1449" s="4">
        <f>251.37*(1-Z1%)</f>
        <v>251.37</v>
      </c>
      <c r="F1449" s="2">
        <v>18</v>
      </c>
      <c r="G1449" s="2"/>
    </row>
    <row r="1450" spans="1:26" customHeight="1" ht="18" hidden="true" outlineLevel="4">
      <c r="A1450" s="2" t="s">
        <v>2722</v>
      </c>
      <c r="B1450" s="3" t="s">
        <v>2723</v>
      </c>
      <c r="C1450" s="2"/>
      <c r="D1450" s="2" t="s">
        <v>16</v>
      </c>
      <c r="E1450" s="4">
        <f>116.28*(1-Z1%)</f>
        <v>116.28</v>
      </c>
      <c r="F1450" s="2">
        <v>27</v>
      </c>
      <c r="G1450" s="2"/>
    </row>
    <row r="1451" spans="1:26" customHeight="1" ht="18" hidden="true" outlineLevel="4">
      <c r="A1451" s="2" t="s">
        <v>2724</v>
      </c>
      <c r="B1451" s="3" t="s">
        <v>2725</v>
      </c>
      <c r="C1451" s="2"/>
      <c r="D1451" s="2" t="s">
        <v>16</v>
      </c>
      <c r="E1451" s="4">
        <f>452.95*(1-Z1%)</f>
        <v>452.95</v>
      </c>
      <c r="F1451" s="2">
        <v>2</v>
      </c>
      <c r="G1451" s="2"/>
    </row>
    <row r="1452" spans="1:26" customHeight="1" ht="35" hidden="true" outlineLevel="4">
      <c r="A1452" s="5" t="s">
        <v>2726</v>
      </c>
      <c r="B1452" s="5"/>
      <c r="C1452" s="5"/>
      <c r="D1452" s="5"/>
      <c r="E1452" s="5"/>
      <c r="F1452" s="5"/>
      <c r="G1452" s="5"/>
    </row>
    <row r="1453" spans="1:26" customHeight="1" ht="18" hidden="true" outlineLevel="4">
      <c r="A1453" s="2" t="s">
        <v>2727</v>
      </c>
      <c r="B1453" s="3" t="s">
        <v>2728</v>
      </c>
      <c r="C1453" s="2"/>
      <c r="D1453" s="2" t="s">
        <v>16</v>
      </c>
      <c r="E1453" s="4">
        <f>146.12*(1-Z1%)</f>
        <v>146.12</v>
      </c>
      <c r="F1453" s="2">
        <v>1</v>
      </c>
      <c r="G1453" s="2"/>
    </row>
    <row r="1454" spans="1:26" customHeight="1" ht="18" hidden="true" outlineLevel="4">
      <c r="A1454" s="2" t="s">
        <v>2729</v>
      </c>
      <c r="B1454" s="3" t="s">
        <v>2730</v>
      </c>
      <c r="C1454" s="2"/>
      <c r="D1454" s="2" t="s">
        <v>16</v>
      </c>
      <c r="E1454" s="4">
        <f>182.71*(1-Z1%)</f>
        <v>182.71</v>
      </c>
      <c r="F1454" s="2">
        <v>5</v>
      </c>
      <c r="G1454" s="2"/>
    </row>
    <row r="1455" spans="1:26" customHeight="1" ht="18" hidden="true" outlineLevel="4">
      <c r="A1455" s="2" t="s">
        <v>2731</v>
      </c>
      <c r="B1455" s="3" t="s">
        <v>2732</v>
      </c>
      <c r="C1455" s="2"/>
      <c r="D1455" s="2" t="s">
        <v>16</v>
      </c>
      <c r="E1455" s="4">
        <f>182.71*(1-Z1%)</f>
        <v>182.71</v>
      </c>
      <c r="F1455" s="2">
        <v>4</v>
      </c>
      <c r="G1455" s="2"/>
    </row>
    <row r="1456" spans="1:26" customHeight="1" ht="18" hidden="true" outlineLevel="4">
      <c r="A1456" s="2" t="s">
        <v>2733</v>
      </c>
      <c r="B1456" s="3" t="s">
        <v>2734</v>
      </c>
      <c r="C1456" s="2"/>
      <c r="D1456" s="2" t="s">
        <v>16</v>
      </c>
      <c r="E1456" s="4">
        <f>192.38*(1-Z1%)</f>
        <v>192.38</v>
      </c>
      <c r="F1456" s="2">
        <v>85</v>
      </c>
      <c r="G1456" s="2"/>
    </row>
    <row r="1457" spans="1:26" customHeight="1" ht="18" hidden="true" outlineLevel="4">
      <c r="A1457" s="2" t="s">
        <v>2735</v>
      </c>
      <c r="B1457" s="3" t="s">
        <v>2736</v>
      </c>
      <c r="C1457" s="2"/>
      <c r="D1457" s="2" t="s">
        <v>16</v>
      </c>
      <c r="E1457" s="4">
        <f>82.08*(1-Z1%)</f>
        <v>82.08</v>
      </c>
      <c r="F1457" s="2">
        <v>7</v>
      </c>
      <c r="G1457" s="2"/>
    </row>
    <row r="1458" spans="1:26" customHeight="1" ht="18" hidden="true" outlineLevel="4">
      <c r="A1458" s="2" t="s">
        <v>2737</v>
      </c>
      <c r="B1458" s="3" t="s">
        <v>2738</v>
      </c>
      <c r="C1458" s="2"/>
      <c r="D1458" s="2" t="s">
        <v>16</v>
      </c>
      <c r="E1458" s="4">
        <f>78.66*(1-Z1%)</f>
        <v>78.66</v>
      </c>
      <c r="F1458" s="2">
        <v>19</v>
      </c>
      <c r="G1458" s="2"/>
    </row>
    <row r="1459" spans="1:26" customHeight="1" ht="18" hidden="true" outlineLevel="4">
      <c r="A1459" s="2" t="s">
        <v>2739</v>
      </c>
      <c r="B1459" s="3" t="s">
        <v>2740</v>
      </c>
      <c r="C1459" s="2"/>
      <c r="D1459" s="2" t="s">
        <v>16</v>
      </c>
      <c r="E1459" s="4">
        <f>106.02*(1-Z1%)</f>
        <v>106.02</v>
      </c>
      <c r="F1459" s="2">
        <v>6</v>
      </c>
      <c r="G1459" s="2"/>
    </row>
    <row r="1460" spans="1:26" customHeight="1" ht="18" hidden="true" outlineLevel="4">
      <c r="A1460" s="2" t="s">
        <v>2741</v>
      </c>
      <c r="B1460" s="3" t="s">
        <v>2742</v>
      </c>
      <c r="C1460" s="2"/>
      <c r="D1460" s="2" t="s">
        <v>16</v>
      </c>
      <c r="E1460" s="4">
        <f>106.02*(1-Z1%)</f>
        <v>106.02</v>
      </c>
      <c r="F1460" s="2">
        <v>4</v>
      </c>
      <c r="G1460" s="2"/>
    </row>
    <row r="1461" spans="1:26" customHeight="1" ht="18" hidden="true" outlineLevel="4">
      <c r="A1461" s="2" t="s">
        <v>2743</v>
      </c>
      <c r="B1461" s="3" t="s">
        <v>2744</v>
      </c>
      <c r="C1461" s="2"/>
      <c r="D1461" s="2" t="s">
        <v>16</v>
      </c>
      <c r="E1461" s="4">
        <f>140.22*(1-Z1%)</f>
        <v>140.22</v>
      </c>
      <c r="F1461" s="2">
        <v>96</v>
      </c>
      <c r="G1461" s="2"/>
    </row>
    <row r="1462" spans="1:26" customHeight="1" ht="18" hidden="true" outlineLevel="4">
      <c r="A1462" s="2" t="s">
        <v>2745</v>
      </c>
      <c r="B1462" s="3" t="s">
        <v>2746</v>
      </c>
      <c r="C1462" s="2"/>
      <c r="D1462" s="2" t="s">
        <v>16</v>
      </c>
      <c r="E1462" s="4">
        <f>196.65*(1-Z1%)</f>
        <v>196.65</v>
      </c>
      <c r="F1462" s="2">
        <v>70</v>
      </c>
      <c r="G1462" s="2"/>
    </row>
    <row r="1463" spans="1:26" customHeight="1" ht="18" hidden="true" outlineLevel="4">
      <c r="A1463" s="2" t="s">
        <v>2747</v>
      </c>
      <c r="B1463" s="3" t="s">
        <v>2748</v>
      </c>
      <c r="C1463" s="2"/>
      <c r="D1463" s="2" t="s">
        <v>16</v>
      </c>
      <c r="E1463" s="4">
        <f>135.95*(1-Z1%)</f>
        <v>135.95</v>
      </c>
      <c r="F1463" s="2">
        <v>10</v>
      </c>
      <c r="G1463" s="2"/>
    </row>
    <row r="1464" spans="1:26" customHeight="1" ht="18" hidden="true" outlineLevel="4">
      <c r="A1464" s="2" t="s">
        <v>2749</v>
      </c>
      <c r="B1464" s="3" t="s">
        <v>2750</v>
      </c>
      <c r="C1464" s="2"/>
      <c r="D1464" s="2" t="s">
        <v>16</v>
      </c>
      <c r="E1464" s="4">
        <f>197.51*(1-Z1%)</f>
        <v>197.51</v>
      </c>
      <c r="F1464" s="2">
        <v>7</v>
      </c>
      <c r="G1464" s="2"/>
    </row>
    <row r="1465" spans="1:26" customHeight="1" ht="18" hidden="true" outlineLevel="4">
      <c r="A1465" s="2" t="s">
        <v>2751</v>
      </c>
      <c r="B1465" s="3" t="s">
        <v>2752</v>
      </c>
      <c r="C1465" s="2"/>
      <c r="D1465" s="2" t="s">
        <v>16</v>
      </c>
      <c r="E1465" s="4">
        <f>94.91*(1-Z1%)</f>
        <v>94.91</v>
      </c>
      <c r="F1465" s="2">
        <v>28</v>
      </c>
      <c r="G1465" s="2"/>
    </row>
    <row r="1466" spans="1:26" customHeight="1" ht="18" hidden="true" outlineLevel="4">
      <c r="A1466" s="2" t="s">
        <v>2753</v>
      </c>
      <c r="B1466" s="3" t="s">
        <v>2754</v>
      </c>
      <c r="C1466" s="2"/>
      <c r="D1466" s="2" t="s">
        <v>16</v>
      </c>
      <c r="E1466" s="4">
        <f>100.04*(1-Z1%)</f>
        <v>100.04</v>
      </c>
      <c r="F1466" s="2">
        <v>80</v>
      </c>
      <c r="G1466" s="2"/>
    </row>
    <row r="1467" spans="1:26" customHeight="1" ht="18" hidden="true" outlineLevel="4">
      <c r="A1467" s="2" t="s">
        <v>2755</v>
      </c>
      <c r="B1467" s="3" t="s">
        <v>2756</v>
      </c>
      <c r="C1467" s="2"/>
      <c r="D1467" s="2" t="s">
        <v>16</v>
      </c>
      <c r="E1467" s="4">
        <f>47.87*(1-Z1%)</f>
        <v>47.87</v>
      </c>
      <c r="F1467" s="2">
        <v>15</v>
      </c>
      <c r="G1467" s="2"/>
    </row>
    <row r="1468" spans="1:26" customHeight="1" ht="18" hidden="true" outlineLevel="4">
      <c r="A1468" s="2" t="s">
        <v>2757</v>
      </c>
      <c r="B1468" s="3" t="s">
        <v>2758</v>
      </c>
      <c r="C1468" s="2"/>
      <c r="D1468" s="2" t="s">
        <v>16</v>
      </c>
      <c r="E1468" s="4">
        <f>291.75*(1-Z1%)</f>
        <v>291.75</v>
      </c>
      <c r="F1468" s="2">
        <v>1</v>
      </c>
      <c r="G1468" s="2"/>
    </row>
    <row r="1469" spans="1:26" customHeight="1" ht="18" hidden="true" outlineLevel="4">
      <c r="A1469" s="2" t="s">
        <v>2759</v>
      </c>
      <c r="B1469" s="3" t="s">
        <v>2760</v>
      </c>
      <c r="C1469" s="2"/>
      <c r="D1469" s="2" t="s">
        <v>16</v>
      </c>
      <c r="E1469" s="4">
        <f>318.72*(1-Z1%)</f>
        <v>318.72</v>
      </c>
      <c r="F1469" s="2">
        <v>1</v>
      </c>
      <c r="G1469" s="2"/>
    </row>
    <row r="1470" spans="1:26" customHeight="1" ht="18" hidden="true" outlineLevel="4">
      <c r="A1470" s="2" t="s">
        <v>2761</v>
      </c>
      <c r="B1470" s="3" t="s">
        <v>2762</v>
      </c>
      <c r="C1470" s="2"/>
      <c r="D1470" s="2" t="s">
        <v>16</v>
      </c>
      <c r="E1470" s="4">
        <f>50.46*(1-Z1%)</f>
        <v>50.46</v>
      </c>
      <c r="F1470" s="2">
        <v>34</v>
      </c>
      <c r="G1470" s="2"/>
    </row>
    <row r="1471" spans="1:26" customHeight="1" ht="18" hidden="true" outlineLevel="4">
      <c r="A1471" s="2" t="s">
        <v>2763</v>
      </c>
      <c r="B1471" s="3" t="s">
        <v>2764</v>
      </c>
      <c r="C1471" s="2"/>
      <c r="D1471" s="2" t="s">
        <v>16</v>
      </c>
      <c r="E1471" s="4">
        <f>139.88*(1-Z1%)</f>
        <v>139.88</v>
      </c>
      <c r="F1471" s="2">
        <v>3</v>
      </c>
      <c r="G1471" s="2"/>
    </row>
    <row r="1472" spans="1:26" customHeight="1" ht="18" hidden="true" outlineLevel="4">
      <c r="A1472" s="2" t="s">
        <v>2765</v>
      </c>
      <c r="B1472" s="3" t="s">
        <v>2766</v>
      </c>
      <c r="C1472" s="2"/>
      <c r="D1472" s="2" t="s">
        <v>16</v>
      </c>
      <c r="E1472" s="4">
        <f>139.88*(1-Z1%)</f>
        <v>139.88</v>
      </c>
      <c r="F1472" s="2">
        <v>1</v>
      </c>
      <c r="G1472" s="2"/>
    </row>
    <row r="1473" spans="1:26" customHeight="1" ht="18" hidden="true" outlineLevel="4">
      <c r="A1473" s="2" t="s">
        <v>2767</v>
      </c>
      <c r="B1473" s="3" t="s">
        <v>2768</v>
      </c>
      <c r="C1473" s="2"/>
      <c r="D1473" s="2" t="s">
        <v>16</v>
      </c>
      <c r="E1473" s="4">
        <f>106.02*(1-Z1%)</f>
        <v>106.02</v>
      </c>
      <c r="F1473" s="2">
        <v>2</v>
      </c>
      <c r="G1473" s="2"/>
    </row>
    <row r="1474" spans="1:26" customHeight="1" ht="18" hidden="true" outlineLevel="4">
      <c r="A1474" s="2" t="s">
        <v>2769</v>
      </c>
      <c r="B1474" s="3" t="s">
        <v>2770</v>
      </c>
      <c r="C1474" s="2"/>
      <c r="D1474" s="2" t="s">
        <v>16</v>
      </c>
      <c r="E1474" s="4">
        <f>144.50*(1-Z1%)</f>
        <v>144.5</v>
      </c>
      <c r="F1474" s="2">
        <v>163</v>
      </c>
      <c r="G1474" s="2"/>
    </row>
    <row r="1475" spans="1:26" customHeight="1" ht="18" hidden="true" outlineLevel="4">
      <c r="A1475" s="2" t="s">
        <v>2771</v>
      </c>
      <c r="B1475" s="3" t="s">
        <v>2772</v>
      </c>
      <c r="C1475" s="2"/>
      <c r="D1475" s="2" t="s">
        <v>16</v>
      </c>
      <c r="E1475" s="4">
        <f>127.40*(1-Z1%)</f>
        <v>127.4</v>
      </c>
      <c r="F1475" s="2">
        <v>8</v>
      </c>
      <c r="G1475" s="2"/>
    </row>
    <row r="1476" spans="1:26" customHeight="1" ht="18" hidden="true" outlineLevel="4">
      <c r="A1476" s="2" t="s">
        <v>2773</v>
      </c>
      <c r="B1476" s="3" t="s">
        <v>2774</v>
      </c>
      <c r="C1476" s="2"/>
      <c r="D1476" s="2" t="s">
        <v>16</v>
      </c>
      <c r="E1476" s="4">
        <f>112.01*(1-Z1%)</f>
        <v>112.01</v>
      </c>
      <c r="F1476" s="2">
        <v>2</v>
      </c>
      <c r="G1476" s="2"/>
    </row>
    <row r="1477" spans="1:26" customHeight="1" ht="18" hidden="true" outlineLevel="4">
      <c r="A1477" s="2" t="s">
        <v>2775</v>
      </c>
      <c r="B1477" s="3" t="s">
        <v>2776</v>
      </c>
      <c r="C1477" s="2"/>
      <c r="D1477" s="2" t="s">
        <v>16</v>
      </c>
      <c r="E1477" s="4">
        <f>279.59*(1-Z1%)</f>
        <v>279.59</v>
      </c>
      <c r="F1477" s="2">
        <v>5</v>
      </c>
      <c r="G1477" s="2"/>
    </row>
    <row r="1478" spans="1:26" customHeight="1" ht="18" hidden="true" outlineLevel="4">
      <c r="A1478" s="2" t="s">
        <v>2777</v>
      </c>
      <c r="B1478" s="3" t="s">
        <v>2778</v>
      </c>
      <c r="C1478" s="2"/>
      <c r="D1478" s="2" t="s">
        <v>16</v>
      </c>
      <c r="E1478" s="4">
        <f>279.59*(1-Z1%)</f>
        <v>279.59</v>
      </c>
      <c r="F1478" s="2">
        <v>4</v>
      </c>
      <c r="G1478" s="2"/>
    </row>
    <row r="1479" spans="1:26" customHeight="1" ht="18" hidden="true" outlineLevel="4">
      <c r="A1479" s="2" t="s">
        <v>2779</v>
      </c>
      <c r="B1479" s="3" t="s">
        <v>2780</v>
      </c>
      <c r="C1479" s="2"/>
      <c r="D1479" s="2" t="s">
        <v>16</v>
      </c>
      <c r="E1479" s="4">
        <f>258.57*(1-Z1%)</f>
        <v>258.57</v>
      </c>
      <c r="F1479" s="2">
        <v>5</v>
      </c>
      <c r="G1479" s="2"/>
    </row>
    <row r="1480" spans="1:26" customHeight="1" ht="18" hidden="true" outlineLevel="4">
      <c r="A1480" s="2" t="s">
        <v>2781</v>
      </c>
      <c r="B1480" s="3" t="s">
        <v>2782</v>
      </c>
      <c r="C1480" s="2"/>
      <c r="D1480" s="2" t="s">
        <v>16</v>
      </c>
      <c r="E1480" s="4">
        <f>170.08*(1-Z1%)</f>
        <v>170.08</v>
      </c>
      <c r="F1480" s="2">
        <v>2</v>
      </c>
      <c r="G1480" s="2"/>
    </row>
    <row r="1481" spans="1:26" customHeight="1" ht="18" hidden="true" outlineLevel="4">
      <c r="A1481" s="2" t="s">
        <v>2783</v>
      </c>
      <c r="B1481" s="3" t="s">
        <v>2784</v>
      </c>
      <c r="C1481" s="2"/>
      <c r="D1481" s="2" t="s">
        <v>16</v>
      </c>
      <c r="E1481" s="4">
        <f>9.57*(1-Z1%)</f>
        <v>9.57</v>
      </c>
      <c r="F1481" s="2">
        <v>5</v>
      </c>
      <c r="G1481" s="2"/>
    </row>
    <row r="1482" spans="1:26" customHeight="1" ht="18" hidden="true" outlineLevel="4">
      <c r="A1482" s="2" t="s">
        <v>2785</v>
      </c>
      <c r="B1482" s="3" t="s">
        <v>2786</v>
      </c>
      <c r="C1482" s="2"/>
      <c r="D1482" s="2" t="s">
        <v>16</v>
      </c>
      <c r="E1482" s="4">
        <f>52.14*(1-Z1%)</f>
        <v>52.14</v>
      </c>
      <c r="F1482" s="2">
        <v>5</v>
      </c>
      <c r="G1482" s="2"/>
    </row>
    <row r="1483" spans="1:26" customHeight="1" ht="35" hidden="true" outlineLevel="4">
      <c r="A1483" s="5" t="s">
        <v>2787</v>
      </c>
      <c r="B1483" s="5"/>
      <c r="C1483" s="5"/>
      <c r="D1483" s="5"/>
      <c r="E1483" s="5"/>
      <c r="F1483" s="5"/>
      <c r="G1483" s="5"/>
    </row>
    <row r="1484" spans="1:26" customHeight="1" ht="18" hidden="true" outlineLevel="4">
      <c r="A1484" s="2" t="s">
        <v>2788</v>
      </c>
      <c r="B1484" s="3" t="s">
        <v>2789</v>
      </c>
      <c r="C1484" s="2"/>
      <c r="D1484" s="2" t="s">
        <v>16</v>
      </c>
      <c r="E1484" s="4">
        <f>28.39*(1-Z1%)</f>
        <v>28.39</v>
      </c>
      <c r="F1484" s="2">
        <v>1</v>
      </c>
      <c r="G1484" s="2"/>
    </row>
    <row r="1485" spans="1:26" customHeight="1" ht="18" hidden="true" outlineLevel="4">
      <c r="A1485" s="2" t="s">
        <v>2790</v>
      </c>
      <c r="B1485" s="3" t="s">
        <v>2791</v>
      </c>
      <c r="C1485" s="2"/>
      <c r="D1485" s="2" t="s">
        <v>16</v>
      </c>
      <c r="E1485" s="4">
        <f>90.37*(1-Z1%)</f>
        <v>90.37</v>
      </c>
      <c r="F1485" s="2">
        <v>1</v>
      </c>
      <c r="G1485" s="2"/>
    </row>
    <row r="1486" spans="1:26" customHeight="1" ht="18" hidden="true" outlineLevel="4">
      <c r="A1486" s="2" t="s">
        <v>2792</v>
      </c>
      <c r="B1486" s="3" t="s">
        <v>2793</v>
      </c>
      <c r="C1486" s="2"/>
      <c r="D1486" s="2" t="s">
        <v>16</v>
      </c>
      <c r="E1486" s="4">
        <f>64.98*(1-Z1%)</f>
        <v>64.98</v>
      </c>
      <c r="F1486" s="2">
        <v>18</v>
      </c>
      <c r="G1486" s="2"/>
    </row>
    <row r="1487" spans="1:26" customHeight="1" ht="18" hidden="true" outlineLevel="4">
      <c r="A1487" s="2" t="s">
        <v>2794</v>
      </c>
      <c r="B1487" s="3" t="s">
        <v>2795</v>
      </c>
      <c r="C1487" s="2"/>
      <c r="D1487" s="2" t="s">
        <v>16</v>
      </c>
      <c r="E1487" s="4">
        <f>20.28*(1-Z1%)</f>
        <v>20.28</v>
      </c>
      <c r="F1487" s="2">
        <v>1</v>
      </c>
      <c r="G1487" s="2"/>
    </row>
    <row r="1488" spans="1:26" customHeight="1" ht="18" hidden="true" outlineLevel="4">
      <c r="A1488" s="2" t="s">
        <v>2796</v>
      </c>
      <c r="B1488" s="3" t="s">
        <v>2797</v>
      </c>
      <c r="C1488" s="2"/>
      <c r="D1488" s="2" t="s">
        <v>16</v>
      </c>
      <c r="E1488" s="4">
        <f>20.28*(1-Z1%)</f>
        <v>20.28</v>
      </c>
      <c r="F1488" s="2">
        <v>1</v>
      </c>
      <c r="G1488" s="2"/>
    </row>
    <row r="1489" spans="1:26" customHeight="1" ht="18" hidden="true" outlineLevel="4">
      <c r="A1489" s="2" t="s">
        <v>2798</v>
      </c>
      <c r="B1489" s="3" t="s">
        <v>2799</v>
      </c>
      <c r="C1489" s="2"/>
      <c r="D1489" s="2" t="s">
        <v>16</v>
      </c>
      <c r="E1489" s="4">
        <f>20.28*(1-Z1%)</f>
        <v>20.28</v>
      </c>
      <c r="F1489" s="2">
        <v>1</v>
      </c>
      <c r="G1489" s="2"/>
    </row>
    <row r="1490" spans="1:26" customHeight="1" ht="18" hidden="true" outlineLevel="4">
      <c r="A1490" s="2" t="s">
        <v>2800</v>
      </c>
      <c r="B1490" s="3" t="s">
        <v>2801</v>
      </c>
      <c r="C1490" s="2"/>
      <c r="D1490" s="2" t="s">
        <v>16</v>
      </c>
      <c r="E1490" s="4">
        <f>20.28*(1-Z1%)</f>
        <v>20.28</v>
      </c>
      <c r="F1490" s="2">
        <v>1</v>
      </c>
      <c r="G1490" s="2"/>
    </row>
    <row r="1491" spans="1:26" customHeight="1" ht="18" hidden="true" outlineLevel="4">
      <c r="A1491" s="2" t="s">
        <v>2802</v>
      </c>
      <c r="B1491" s="3" t="s">
        <v>2803</v>
      </c>
      <c r="C1491" s="2"/>
      <c r="D1491" s="2" t="s">
        <v>16</v>
      </c>
      <c r="E1491" s="4">
        <f>36.90*(1-Z1%)</f>
        <v>36.9</v>
      </c>
      <c r="F1491" s="2">
        <v>4</v>
      </c>
      <c r="G1491" s="2"/>
    </row>
    <row r="1492" spans="1:26" customHeight="1" ht="18" hidden="true" outlineLevel="4">
      <c r="A1492" s="2" t="s">
        <v>2804</v>
      </c>
      <c r="B1492" s="3" t="s">
        <v>2805</v>
      </c>
      <c r="C1492" s="2"/>
      <c r="D1492" s="2" t="s">
        <v>16</v>
      </c>
      <c r="E1492" s="4">
        <f>110.30*(1-Z1%)</f>
        <v>110.3</v>
      </c>
      <c r="F1492" s="2">
        <v>9</v>
      </c>
      <c r="G1492" s="2"/>
    </row>
    <row r="1493" spans="1:26" customHeight="1" ht="18" hidden="true" outlineLevel="4">
      <c r="A1493" s="2" t="s">
        <v>2806</v>
      </c>
      <c r="B1493" s="3" t="s">
        <v>2807</v>
      </c>
      <c r="C1493" s="2"/>
      <c r="D1493" s="2" t="s">
        <v>16</v>
      </c>
      <c r="E1493" s="4">
        <f>167.07*(1-Z1%)</f>
        <v>167.07</v>
      </c>
      <c r="F1493" s="2">
        <v>1</v>
      </c>
      <c r="G1493" s="2"/>
    </row>
    <row r="1494" spans="1:26" customHeight="1" ht="18" hidden="true" outlineLevel="4">
      <c r="A1494" s="2" t="s">
        <v>2808</v>
      </c>
      <c r="B1494" s="3" t="s">
        <v>2809</v>
      </c>
      <c r="C1494" s="2"/>
      <c r="D1494" s="2" t="s">
        <v>16</v>
      </c>
      <c r="E1494" s="4">
        <f>39.96*(1-Z1%)</f>
        <v>39.96</v>
      </c>
      <c r="F1494" s="2">
        <v>3</v>
      </c>
      <c r="G1494" s="2"/>
    </row>
    <row r="1495" spans="1:26" customHeight="1" ht="18" hidden="true" outlineLevel="4">
      <c r="A1495" s="2" t="s">
        <v>2810</v>
      </c>
      <c r="B1495" s="3" t="s">
        <v>2811</v>
      </c>
      <c r="C1495" s="2"/>
      <c r="D1495" s="2" t="s">
        <v>16</v>
      </c>
      <c r="E1495" s="4">
        <f>114.49*(1-Z1%)</f>
        <v>114.49</v>
      </c>
      <c r="F1495" s="2">
        <v>8</v>
      </c>
      <c r="G1495" s="2"/>
    </row>
    <row r="1496" spans="1:26" customHeight="1" ht="18" hidden="true" outlineLevel="4">
      <c r="A1496" s="2" t="s">
        <v>2812</v>
      </c>
      <c r="B1496" s="3" t="s">
        <v>2813</v>
      </c>
      <c r="C1496" s="2"/>
      <c r="D1496" s="2" t="s">
        <v>16</v>
      </c>
      <c r="E1496" s="4">
        <f>50.46*(1-Z1%)</f>
        <v>50.46</v>
      </c>
      <c r="F1496" s="2">
        <v>47</v>
      </c>
      <c r="G1496" s="2"/>
    </row>
    <row r="1497" spans="1:26" customHeight="1" ht="35" hidden="true" outlineLevel="4">
      <c r="A1497" s="5" t="s">
        <v>2814</v>
      </c>
      <c r="B1497" s="5"/>
      <c r="C1497" s="5"/>
      <c r="D1497" s="5"/>
      <c r="E1497" s="5"/>
      <c r="F1497" s="5"/>
      <c r="G1497" s="5"/>
    </row>
    <row r="1498" spans="1:26" customHeight="1" ht="18" hidden="true" outlineLevel="4">
      <c r="A1498" s="2" t="s">
        <v>2815</v>
      </c>
      <c r="B1498" s="3" t="s">
        <v>2816</v>
      </c>
      <c r="C1498" s="2"/>
      <c r="D1498" s="2" t="s">
        <v>16</v>
      </c>
      <c r="E1498" s="4">
        <f>41.04*(1-Z1%)</f>
        <v>41.04</v>
      </c>
      <c r="F1498" s="2">
        <v>1</v>
      </c>
      <c r="G1498" s="2"/>
    </row>
    <row r="1499" spans="1:26" customHeight="1" ht="35" hidden="true" outlineLevel="4">
      <c r="A1499" s="5" t="s">
        <v>2817</v>
      </c>
      <c r="B1499" s="5"/>
      <c r="C1499" s="5"/>
      <c r="D1499" s="5"/>
      <c r="E1499" s="5"/>
      <c r="F1499" s="5"/>
      <c r="G1499" s="5"/>
    </row>
    <row r="1500" spans="1:26" customHeight="1" ht="36" hidden="true" outlineLevel="4">
      <c r="A1500" s="2" t="s">
        <v>2818</v>
      </c>
      <c r="B1500" s="3" t="s">
        <v>2819</v>
      </c>
      <c r="C1500" s="2"/>
      <c r="D1500" s="2" t="s">
        <v>16</v>
      </c>
      <c r="E1500" s="4">
        <f>374.40*(1-Z1%)</f>
        <v>374.4</v>
      </c>
      <c r="F1500" s="2">
        <v>8</v>
      </c>
      <c r="G1500" s="2"/>
    </row>
    <row r="1501" spans="1:26" customHeight="1" ht="18" hidden="true" outlineLevel="4">
      <c r="A1501" s="2" t="s">
        <v>2820</v>
      </c>
      <c r="B1501" s="3" t="s">
        <v>2821</v>
      </c>
      <c r="C1501" s="2"/>
      <c r="D1501" s="2" t="s">
        <v>16</v>
      </c>
      <c r="E1501" s="4">
        <f>135.09*(1-Z1%)</f>
        <v>135.09</v>
      </c>
      <c r="F1501" s="2">
        <v>22</v>
      </c>
      <c r="G1501" s="2"/>
    </row>
    <row r="1502" spans="1:26" customHeight="1" ht="35" hidden="true" outlineLevel="4">
      <c r="A1502" s="5" t="s">
        <v>2822</v>
      </c>
      <c r="B1502" s="5"/>
      <c r="C1502" s="5"/>
      <c r="D1502" s="5"/>
      <c r="E1502" s="5"/>
      <c r="F1502" s="5"/>
      <c r="G1502" s="5"/>
    </row>
    <row r="1503" spans="1:26" customHeight="1" ht="36" hidden="true" outlineLevel="4">
      <c r="A1503" s="2" t="s">
        <v>2823</v>
      </c>
      <c r="B1503" s="3" t="s">
        <v>2824</v>
      </c>
      <c r="C1503" s="2"/>
      <c r="D1503" s="2" t="s">
        <v>16</v>
      </c>
      <c r="E1503" s="4">
        <f>480.90*(1-Z1%)</f>
        <v>480.9</v>
      </c>
      <c r="F1503" s="2">
        <v>2</v>
      </c>
      <c r="G1503" s="2"/>
    </row>
    <row r="1504" spans="1:26" customHeight="1" ht="36" hidden="true" outlineLevel="4">
      <c r="A1504" s="2" t="s">
        <v>2825</v>
      </c>
      <c r="B1504" s="3" t="s">
        <v>2826</v>
      </c>
      <c r="C1504" s="2"/>
      <c r="D1504" s="2" t="s">
        <v>16</v>
      </c>
      <c r="E1504" s="4">
        <f>476.27*(1-Z1%)</f>
        <v>476.27</v>
      </c>
      <c r="F1504" s="2">
        <v>1</v>
      </c>
      <c r="G1504" s="2"/>
    </row>
    <row r="1505" spans="1:26" customHeight="1" ht="36" hidden="true" outlineLevel="4">
      <c r="A1505" s="2" t="s">
        <v>2827</v>
      </c>
      <c r="B1505" s="3" t="s">
        <v>2828</v>
      </c>
      <c r="C1505" s="2"/>
      <c r="D1505" s="2" t="s">
        <v>16</v>
      </c>
      <c r="E1505" s="4">
        <f>325.24*(1-Z1%)</f>
        <v>325.24</v>
      </c>
      <c r="F1505" s="2">
        <v>12</v>
      </c>
      <c r="G1505" s="2"/>
    </row>
    <row r="1506" spans="1:26" customHeight="1" ht="36" hidden="true" outlineLevel="4">
      <c r="A1506" s="2" t="s">
        <v>2829</v>
      </c>
      <c r="B1506" s="3" t="s">
        <v>2830</v>
      </c>
      <c r="C1506" s="2"/>
      <c r="D1506" s="2" t="s">
        <v>16</v>
      </c>
      <c r="E1506" s="4">
        <f>350.64*(1-Z1%)</f>
        <v>350.64</v>
      </c>
      <c r="F1506" s="2">
        <v>1</v>
      </c>
      <c r="G1506" s="2"/>
    </row>
    <row r="1507" spans="1:26" customHeight="1" ht="18" hidden="true" outlineLevel="4">
      <c r="A1507" s="2" t="s">
        <v>2831</v>
      </c>
      <c r="B1507" s="3" t="s">
        <v>2832</v>
      </c>
      <c r="C1507" s="2"/>
      <c r="D1507" s="2" t="s">
        <v>16</v>
      </c>
      <c r="E1507" s="4">
        <f>363.82*(1-Z1%)</f>
        <v>363.82</v>
      </c>
      <c r="F1507" s="2">
        <v>3</v>
      </c>
      <c r="G1507" s="2"/>
    </row>
    <row r="1508" spans="1:26" customHeight="1" ht="36" hidden="true" outlineLevel="4">
      <c r="A1508" s="2" t="s">
        <v>2833</v>
      </c>
      <c r="B1508" s="3" t="s">
        <v>2834</v>
      </c>
      <c r="C1508" s="2"/>
      <c r="D1508" s="2" t="s">
        <v>16</v>
      </c>
      <c r="E1508" s="4">
        <f>226.74*(1-Z1%)</f>
        <v>226.74</v>
      </c>
      <c r="F1508" s="2">
        <v>3</v>
      </c>
      <c r="G1508" s="2"/>
    </row>
    <row r="1509" spans="1:26" customHeight="1" ht="18" hidden="true" outlineLevel="4">
      <c r="A1509" s="2" t="s">
        <v>2835</v>
      </c>
      <c r="B1509" s="3" t="s">
        <v>2836</v>
      </c>
      <c r="C1509" s="2"/>
      <c r="D1509" s="2" t="s">
        <v>16</v>
      </c>
      <c r="E1509" s="4">
        <f>524.20*(1-Z1%)</f>
        <v>524.2</v>
      </c>
      <c r="F1509" s="2">
        <v>1</v>
      </c>
      <c r="G1509" s="2"/>
    </row>
    <row r="1510" spans="1:26" customHeight="1" ht="18" hidden="true" outlineLevel="4">
      <c r="A1510" s="2" t="s">
        <v>2837</v>
      </c>
      <c r="B1510" s="3" t="s">
        <v>2838</v>
      </c>
      <c r="C1510" s="2"/>
      <c r="D1510" s="2" t="s">
        <v>16</v>
      </c>
      <c r="E1510" s="4">
        <f>323.30*(1-Z1%)</f>
        <v>323.3</v>
      </c>
      <c r="F1510" s="2">
        <v>6</v>
      </c>
      <c r="G1510" s="2"/>
    </row>
    <row r="1511" spans="1:26" customHeight="1" ht="36" hidden="true" outlineLevel="4">
      <c r="A1511" s="2" t="s">
        <v>2839</v>
      </c>
      <c r="B1511" s="3" t="s">
        <v>2840</v>
      </c>
      <c r="C1511" s="2"/>
      <c r="D1511" s="2" t="s">
        <v>16</v>
      </c>
      <c r="E1511" s="4">
        <f>470.98*(1-Z1%)</f>
        <v>470.98</v>
      </c>
      <c r="F1511" s="2">
        <v>3</v>
      </c>
      <c r="G1511" s="2"/>
    </row>
    <row r="1512" spans="1:26" customHeight="1" ht="35" hidden="true" outlineLevel="4">
      <c r="A1512" s="5" t="s">
        <v>2841</v>
      </c>
      <c r="B1512" s="5"/>
      <c r="C1512" s="5"/>
      <c r="D1512" s="5"/>
      <c r="E1512" s="5"/>
      <c r="F1512" s="5"/>
      <c r="G1512" s="5"/>
    </row>
    <row r="1513" spans="1:26" customHeight="1" ht="18" hidden="true" outlineLevel="4">
      <c r="A1513" s="2" t="s">
        <v>2842</v>
      </c>
      <c r="B1513" s="3" t="s">
        <v>2843</v>
      </c>
      <c r="C1513" s="2"/>
      <c r="D1513" s="2" t="s">
        <v>16</v>
      </c>
      <c r="E1513" s="4">
        <f>118.45*(1-Z1%)</f>
        <v>118.45</v>
      </c>
      <c r="F1513" s="2">
        <v>7</v>
      </c>
      <c r="G1513" s="2"/>
    </row>
    <row r="1514" spans="1:26" customHeight="1" ht="18" hidden="true" outlineLevel="4">
      <c r="A1514" s="2" t="s">
        <v>2844</v>
      </c>
      <c r="B1514" s="3" t="s">
        <v>2845</v>
      </c>
      <c r="C1514" s="2"/>
      <c r="D1514" s="2" t="s">
        <v>16</v>
      </c>
      <c r="E1514" s="4">
        <f>156.47*(1-Z1%)</f>
        <v>156.47</v>
      </c>
      <c r="F1514" s="2">
        <v>5</v>
      </c>
      <c r="G1514" s="2"/>
    </row>
    <row r="1515" spans="1:26" customHeight="1" ht="18" hidden="true" outlineLevel="4">
      <c r="A1515" s="2" t="s">
        <v>2846</v>
      </c>
      <c r="B1515" s="3" t="s">
        <v>2847</v>
      </c>
      <c r="C1515" s="2"/>
      <c r="D1515" s="2" t="s">
        <v>16</v>
      </c>
      <c r="E1515" s="4">
        <f>176.30*(1-Z1%)</f>
        <v>176.3</v>
      </c>
      <c r="F1515" s="2">
        <v>2</v>
      </c>
      <c r="G1515" s="2"/>
    </row>
    <row r="1516" spans="1:26" customHeight="1" ht="18" hidden="true" outlineLevel="4">
      <c r="A1516" s="2" t="s">
        <v>2848</v>
      </c>
      <c r="B1516" s="3" t="s">
        <v>2849</v>
      </c>
      <c r="C1516" s="2"/>
      <c r="D1516" s="2" t="s">
        <v>16</v>
      </c>
      <c r="E1516" s="4">
        <f>213.88*(1-Z1%)</f>
        <v>213.88</v>
      </c>
      <c r="F1516" s="2">
        <v>2</v>
      </c>
      <c r="G1516" s="2"/>
    </row>
    <row r="1517" spans="1:26" customHeight="1" ht="18" hidden="true" outlineLevel="4">
      <c r="A1517" s="2" t="s">
        <v>2850</v>
      </c>
      <c r="B1517" s="3" t="s">
        <v>2851</v>
      </c>
      <c r="C1517" s="2"/>
      <c r="D1517" s="2" t="s">
        <v>16</v>
      </c>
      <c r="E1517" s="4">
        <f>149.03*(1-Z1%)</f>
        <v>149.03</v>
      </c>
      <c r="F1517" s="2">
        <v>5</v>
      </c>
      <c r="G1517" s="2"/>
    </row>
    <row r="1518" spans="1:26" customHeight="1" ht="18" hidden="true" outlineLevel="4">
      <c r="A1518" s="2" t="s">
        <v>2852</v>
      </c>
      <c r="B1518" s="3" t="s">
        <v>2853</v>
      </c>
      <c r="C1518" s="2"/>
      <c r="D1518" s="2" t="s">
        <v>16</v>
      </c>
      <c r="E1518" s="4">
        <f>149.03*(1-Z1%)</f>
        <v>149.03</v>
      </c>
      <c r="F1518" s="2">
        <v>5</v>
      </c>
      <c r="G1518" s="2"/>
    </row>
    <row r="1519" spans="1:26" customHeight="1" ht="18" hidden="true" outlineLevel="4">
      <c r="A1519" s="2" t="s">
        <v>2854</v>
      </c>
      <c r="B1519" s="3" t="s">
        <v>2855</v>
      </c>
      <c r="C1519" s="2"/>
      <c r="D1519" s="2" t="s">
        <v>16</v>
      </c>
      <c r="E1519" s="4">
        <f>149.03*(1-Z1%)</f>
        <v>149.03</v>
      </c>
      <c r="F1519" s="2">
        <v>8</v>
      </c>
      <c r="G1519" s="2"/>
    </row>
    <row r="1520" spans="1:26" customHeight="1" ht="36" hidden="true" outlineLevel="4">
      <c r="A1520" s="2" t="s">
        <v>2856</v>
      </c>
      <c r="B1520" s="3" t="s">
        <v>2857</v>
      </c>
      <c r="C1520" s="2"/>
      <c r="D1520" s="2" t="s">
        <v>16</v>
      </c>
      <c r="E1520" s="4">
        <f>363.56*(1-Z1%)</f>
        <v>363.56</v>
      </c>
      <c r="F1520" s="2">
        <v>2</v>
      </c>
      <c r="G1520" s="2"/>
    </row>
    <row r="1521" spans="1:26" customHeight="1" ht="18" hidden="true" outlineLevel="4">
      <c r="A1521" s="2" t="s">
        <v>2858</v>
      </c>
      <c r="B1521" s="3" t="s">
        <v>2859</v>
      </c>
      <c r="C1521" s="2"/>
      <c r="D1521" s="2" t="s">
        <v>16</v>
      </c>
      <c r="E1521" s="4">
        <f>198.17*(1-Z1%)</f>
        <v>198.17</v>
      </c>
      <c r="F1521" s="2">
        <v>9</v>
      </c>
      <c r="G1521" s="2"/>
    </row>
    <row r="1522" spans="1:26" customHeight="1" ht="18" hidden="true" outlineLevel="4">
      <c r="A1522" s="2" t="s">
        <v>2860</v>
      </c>
      <c r="B1522" s="3" t="s">
        <v>2861</v>
      </c>
      <c r="C1522" s="2"/>
      <c r="D1522" s="2" t="s">
        <v>16</v>
      </c>
      <c r="E1522" s="4">
        <f>240.53*(1-Z1%)</f>
        <v>240.53</v>
      </c>
      <c r="F1522" s="2">
        <v>5</v>
      </c>
      <c r="G1522" s="2"/>
    </row>
    <row r="1523" spans="1:26" customHeight="1" ht="18" hidden="true" outlineLevel="4">
      <c r="A1523" s="2" t="s">
        <v>2862</v>
      </c>
      <c r="B1523" s="3" t="s">
        <v>2863</v>
      </c>
      <c r="C1523" s="2"/>
      <c r="D1523" s="2" t="s">
        <v>16</v>
      </c>
      <c r="E1523" s="4">
        <f>234.81*(1-Z1%)</f>
        <v>234.81</v>
      </c>
      <c r="F1523" s="2">
        <v>5</v>
      </c>
      <c r="G1523" s="2"/>
    </row>
    <row r="1524" spans="1:26" customHeight="1" ht="18" hidden="true" outlineLevel="4">
      <c r="A1524" s="2" t="s">
        <v>2864</v>
      </c>
      <c r="B1524" s="3" t="s">
        <v>2865</v>
      </c>
      <c r="C1524" s="2"/>
      <c r="D1524" s="2" t="s">
        <v>16</v>
      </c>
      <c r="E1524" s="4">
        <f>193.98*(1-Z1%)</f>
        <v>193.98</v>
      </c>
      <c r="F1524" s="2">
        <v>2</v>
      </c>
      <c r="G1524" s="2"/>
    </row>
    <row r="1525" spans="1:26" customHeight="1" ht="18" hidden="true" outlineLevel="4">
      <c r="A1525" s="2" t="s">
        <v>2866</v>
      </c>
      <c r="B1525" s="3" t="s">
        <v>2867</v>
      </c>
      <c r="C1525" s="2"/>
      <c r="D1525" s="2" t="s">
        <v>16</v>
      </c>
      <c r="E1525" s="4">
        <f>193.98*(1-Z1%)</f>
        <v>193.98</v>
      </c>
      <c r="F1525" s="2">
        <v>1</v>
      </c>
      <c r="G1525" s="2"/>
    </row>
    <row r="1526" spans="1:26" customHeight="1" ht="18" hidden="true" outlineLevel="4">
      <c r="A1526" s="2" t="s">
        <v>2868</v>
      </c>
      <c r="B1526" s="3" t="s">
        <v>2869</v>
      </c>
      <c r="C1526" s="2"/>
      <c r="D1526" s="2" t="s">
        <v>16</v>
      </c>
      <c r="E1526" s="4">
        <f>256.78*(1-Z1%)</f>
        <v>256.78</v>
      </c>
      <c r="F1526" s="2">
        <v>2</v>
      </c>
      <c r="G1526" s="2"/>
    </row>
    <row r="1527" spans="1:26" customHeight="1" ht="18" hidden="true" outlineLevel="4">
      <c r="A1527" s="2" t="s">
        <v>2870</v>
      </c>
      <c r="B1527" s="3" t="s">
        <v>2871</v>
      </c>
      <c r="C1527" s="2"/>
      <c r="D1527" s="2" t="s">
        <v>16</v>
      </c>
      <c r="E1527" s="4">
        <f>155.42*(1-Z1%)</f>
        <v>155.42</v>
      </c>
      <c r="F1527" s="2">
        <v>1</v>
      </c>
      <c r="G1527" s="2"/>
    </row>
    <row r="1528" spans="1:26" customHeight="1" ht="35" hidden="true" outlineLevel="4">
      <c r="A1528" s="5" t="s">
        <v>2872</v>
      </c>
      <c r="B1528" s="5"/>
      <c r="C1528" s="5"/>
      <c r="D1528" s="5"/>
      <c r="E1528" s="5"/>
      <c r="F1528" s="5"/>
      <c r="G1528" s="5"/>
    </row>
    <row r="1529" spans="1:26" customHeight="1" ht="18" hidden="true" outlineLevel="4">
      <c r="A1529" s="2" t="s">
        <v>2873</v>
      </c>
      <c r="B1529" s="3" t="s">
        <v>2874</v>
      </c>
      <c r="C1529" s="2"/>
      <c r="D1529" s="2" t="s">
        <v>16</v>
      </c>
      <c r="E1529" s="4">
        <f>179.71*(1-Z1%)</f>
        <v>179.71</v>
      </c>
      <c r="F1529" s="2">
        <v>10</v>
      </c>
      <c r="G1529" s="2"/>
    </row>
    <row r="1530" spans="1:26" customHeight="1" ht="18" hidden="true" outlineLevel="4">
      <c r="A1530" s="2" t="s">
        <v>2875</v>
      </c>
      <c r="B1530" s="3" t="s">
        <v>2876</v>
      </c>
      <c r="C1530" s="2"/>
      <c r="D1530" s="2" t="s">
        <v>16</v>
      </c>
      <c r="E1530" s="4">
        <f>178.46*(1-Z1%)</f>
        <v>178.46</v>
      </c>
      <c r="F1530" s="2">
        <v>1</v>
      </c>
      <c r="G1530" s="2"/>
    </row>
    <row r="1531" spans="1:26" customHeight="1" ht="18" hidden="true" outlineLevel="4">
      <c r="A1531" s="2" t="s">
        <v>2877</v>
      </c>
      <c r="B1531" s="3" t="s">
        <v>2878</v>
      </c>
      <c r="C1531" s="2"/>
      <c r="D1531" s="2" t="s">
        <v>16</v>
      </c>
      <c r="E1531" s="4">
        <f>178.40*(1-Z1%)</f>
        <v>178.4</v>
      </c>
      <c r="F1531" s="2">
        <v>4</v>
      </c>
      <c r="G1531" s="2"/>
    </row>
    <row r="1532" spans="1:26" customHeight="1" ht="18" hidden="true" outlineLevel="4">
      <c r="A1532" s="2" t="s">
        <v>2879</v>
      </c>
      <c r="B1532" s="3" t="s">
        <v>2880</v>
      </c>
      <c r="C1532" s="2"/>
      <c r="D1532" s="2" t="s">
        <v>16</v>
      </c>
      <c r="E1532" s="4">
        <f>269.53*(1-Z1%)</f>
        <v>269.53</v>
      </c>
      <c r="F1532" s="2">
        <v>3</v>
      </c>
      <c r="G1532" s="2"/>
    </row>
    <row r="1533" spans="1:26" customHeight="1" ht="18" hidden="true" outlineLevel="4">
      <c r="A1533" s="2" t="s">
        <v>2881</v>
      </c>
      <c r="B1533" s="3" t="s">
        <v>2882</v>
      </c>
      <c r="C1533" s="2"/>
      <c r="D1533" s="2" t="s">
        <v>16</v>
      </c>
      <c r="E1533" s="4">
        <f>200.46*(1-Z1%)</f>
        <v>200.46</v>
      </c>
      <c r="F1533" s="2">
        <v>5</v>
      </c>
      <c r="G1533" s="2"/>
    </row>
    <row r="1534" spans="1:26" customHeight="1" ht="18" hidden="true" outlineLevel="4">
      <c r="A1534" s="2" t="s">
        <v>2883</v>
      </c>
      <c r="B1534" s="3" t="s">
        <v>2884</v>
      </c>
      <c r="C1534" s="2"/>
      <c r="D1534" s="2" t="s">
        <v>16</v>
      </c>
      <c r="E1534" s="4">
        <f>148.61*(1-Z1%)</f>
        <v>148.61</v>
      </c>
      <c r="F1534" s="2">
        <v>4</v>
      </c>
      <c r="G1534" s="2"/>
    </row>
    <row r="1535" spans="1:26" customHeight="1" ht="18" hidden="true" outlineLevel="4">
      <c r="A1535" s="2" t="s">
        <v>2885</v>
      </c>
      <c r="B1535" s="3" t="s">
        <v>2886</v>
      </c>
      <c r="C1535" s="2"/>
      <c r="D1535" s="2" t="s">
        <v>16</v>
      </c>
      <c r="E1535" s="4">
        <f>148.24*(1-Z1%)</f>
        <v>148.24</v>
      </c>
      <c r="F1535" s="2">
        <v>3</v>
      </c>
      <c r="G1535" s="2"/>
    </row>
    <row r="1536" spans="1:26" customHeight="1" ht="36" hidden="true" outlineLevel="4">
      <c r="A1536" s="2" t="s">
        <v>2887</v>
      </c>
      <c r="B1536" s="3" t="s">
        <v>2888</v>
      </c>
      <c r="C1536" s="2"/>
      <c r="D1536" s="2" t="s">
        <v>16</v>
      </c>
      <c r="E1536" s="4">
        <f>229.05*(1-Z1%)</f>
        <v>229.05</v>
      </c>
      <c r="F1536" s="2">
        <v>3</v>
      </c>
      <c r="G1536" s="2"/>
    </row>
    <row r="1537" spans="1:26" customHeight="1" ht="36" hidden="true" outlineLevel="4">
      <c r="A1537" s="2" t="s">
        <v>2889</v>
      </c>
      <c r="B1537" s="3" t="s">
        <v>2890</v>
      </c>
      <c r="C1537" s="2"/>
      <c r="D1537" s="2" t="s">
        <v>16</v>
      </c>
      <c r="E1537" s="4">
        <f>309.61*(1-Z1%)</f>
        <v>309.61</v>
      </c>
      <c r="F1537" s="2">
        <v>10</v>
      </c>
      <c r="G1537" s="2"/>
    </row>
    <row r="1538" spans="1:26" customHeight="1" ht="18" hidden="true" outlineLevel="4">
      <c r="A1538" s="2" t="s">
        <v>2891</v>
      </c>
      <c r="B1538" s="3" t="s">
        <v>2892</v>
      </c>
      <c r="C1538" s="2"/>
      <c r="D1538" s="2" t="s">
        <v>16</v>
      </c>
      <c r="E1538" s="4">
        <f>197.29*(1-Z1%)</f>
        <v>197.29</v>
      </c>
      <c r="F1538" s="2">
        <v>4</v>
      </c>
      <c r="G1538" s="2"/>
    </row>
    <row r="1539" spans="1:26" customHeight="1" ht="18" hidden="true" outlineLevel="4">
      <c r="A1539" s="2" t="s">
        <v>2893</v>
      </c>
      <c r="B1539" s="3" t="s">
        <v>2894</v>
      </c>
      <c r="C1539" s="2"/>
      <c r="D1539" s="2" t="s">
        <v>16</v>
      </c>
      <c r="E1539" s="4">
        <f>204.33*(1-Z1%)</f>
        <v>204.33</v>
      </c>
      <c r="F1539" s="2">
        <v>5</v>
      </c>
      <c r="G1539" s="2"/>
    </row>
    <row r="1540" spans="1:26" customHeight="1" ht="18" hidden="true" outlineLevel="4">
      <c r="A1540" s="2" t="s">
        <v>2895</v>
      </c>
      <c r="B1540" s="3" t="s">
        <v>2896</v>
      </c>
      <c r="C1540" s="2"/>
      <c r="D1540" s="2" t="s">
        <v>16</v>
      </c>
      <c r="E1540" s="4">
        <f>188.80*(1-Z1%)</f>
        <v>188.8</v>
      </c>
      <c r="F1540" s="2">
        <v>3</v>
      </c>
      <c r="G1540" s="2"/>
    </row>
    <row r="1541" spans="1:26" customHeight="1" ht="18" hidden="true" outlineLevel="4">
      <c r="A1541" s="2" t="s">
        <v>2897</v>
      </c>
      <c r="B1541" s="3" t="s">
        <v>2898</v>
      </c>
      <c r="C1541" s="2"/>
      <c r="D1541" s="2" t="s">
        <v>16</v>
      </c>
      <c r="E1541" s="4">
        <f>184.15*(1-Z1%)</f>
        <v>184.15</v>
      </c>
      <c r="F1541" s="2">
        <v>3</v>
      </c>
      <c r="G1541" s="2"/>
    </row>
    <row r="1542" spans="1:26" customHeight="1" ht="36" hidden="true" outlineLevel="4">
      <c r="A1542" s="2" t="s">
        <v>2899</v>
      </c>
      <c r="B1542" s="3" t="s">
        <v>2900</v>
      </c>
      <c r="C1542" s="2"/>
      <c r="D1542" s="2" t="s">
        <v>16</v>
      </c>
      <c r="E1542" s="4">
        <f>304.58*(1-Z1%)</f>
        <v>304.58</v>
      </c>
      <c r="F1542" s="2">
        <v>1</v>
      </c>
      <c r="G1542" s="2"/>
    </row>
    <row r="1543" spans="1:26" customHeight="1" ht="36" hidden="true" outlineLevel="4">
      <c r="A1543" s="2" t="s">
        <v>2901</v>
      </c>
      <c r="B1543" s="3" t="s">
        <v>2902</v>
      </c>
      <c r="C1543" s="2"/>
      <c r="D1543" s="2" t="s">
        <v>16</v>
      </c>
      <c r="E1543" s="4">
        <f>325.90*(1-Z1%)</f>
        <v>325.9</v>
      </c>
      <c r="F1543" s="2">
        <v>1</v>
      </c>
      <c r="G1543" s="2"/>
    </row>
    <row r="1544" spans="1:26" customHeight="1" ht="18" hidden="true" outlineLevel="4">
      <c r="A1544" s="2" t="s">
        <v>2903</v>
      </c>
      <c r="B1544" s="3" t="s">
        <v>2904</v>
      </c>
      <c r="C1544" s="2"/>
      <c r="D1544" s="2" t="s">
        <v>16</v>
      </c>
      <c r="E1544" s="4">
        <f>200.27*(1-Z1%)</f>
        <v>200.27</v>
      </c>
      <c r="F1544" s="2">
        <v>3</v>
      </c>
      <c r="G1544" s="2"/>
    </row>
    <row r="1545" spans="1:26" customHeight="1" ht="18" hidden="true" outlineLevel="4">
      <c r="A1545" s="2" t="s">
        <v>2905</v>
      </c>
      <c r="B1545" s="3" t="s">
        <v>2906</v>
      </c>
      <c r="C1545" s="2"/>
      <c r="D1545" s="2" t="s">
        <v>16</v>
      </c>
      <c r="E1545" s="4">
        <f>205.62*(1-Z1%)</f>
        <v>205.62</v>
      </c>
      <c r="F1545" s="2">
        <v>3</v>
      </c>
      <c r="G1545" s="2"/>
    </row>
    <row r="1546" spans="1:26" customHeight="1" ht="18" hidden="true" outlineLevel="4">
      <c r="A1546" s="2" t="s">
        <v>2907</v>
      </c>
      <c r="B1546" s="3" t="s">
        <v>2908</v>
      </c>
      <c r="C1546" s="2"/>
      <c r="D1546" s="2" t="s">
        <v>16</v>
      </c>
      <c r="E1546" s="4">
        <f>377.94*(1-Z1%)</f>
        <v>377.94</v>
      </c>
      <c r="F1546" s="2">
        <v>2</v>
      </c>
      <c r="G1546" s="2"/>
    </row>
    <row r="1547" spans="1:26" customHeight="1" ht="18" hidden="true" outlineLevel="4">
      <c r="A1547" s="2" t="s">
        <v>2909</v>
      </c>
      <c r="B1547" s="3" t="s">
        <v>2910</v>
      </c>
      <c r="C1547" s="2"/>
      <c r="D1547" s="2" t="s">
        <v>16</v>
      </c>
      <c r="E1547" s="4">
        <f>174.59*(1-Z1%)</f>
        <v>174.59</v>
      </c>
      <c r="F1547" s="2">
        <v>3</v>
      </c>
      <c r="G1547" s="2"/>
    </row>
    <row r="1548" spans="1:26" customHeight="1" ht="18" hidden="true" outlineLevel="4">
      <c r="A1548" s="2" t="s">
        <v>2911</v>
      </c>
      <c r="B1548" s="3" t="s">
        <v>2912</v>
      </c>
      <c r="C1548" s="2"/>
      <c r="D1548" s="2" t="s">
        <v>16</v>
      </c>
      <c r="E1548" s="4">
        <f>174.59*(1-Z1%)</f>
        <v>174.59</v>
      </c>
      <c r="F1548" s="2">
        <v>5</v>
      </c>
      <c r="G1548" s="2"/>
    </row>
    <row r="1549" spans="1:26" customHeight="1" ht="18" hidden="true" outlineLevel="4">
      <c r="A1549" s="2" t="s">
        <v>2913</v>
      </c>
      <c r="B1549" s="3" t="s">
        <v>2914</v>
      </c>
      <c r="C1549" s="2"/>
      <c r="D1549" s="2" t="s">
        <v>16</v>
      </c>
      <c r="E1549" s="4">
        <f>124.46*(1-Z1%)</f>
        <v>124.46</v>
      </c>
      <c r="F1549" s="2">
        <v>6</v>
      </c>
      <c r="G1549" s="2"/>
    </row>
    <row r="1550" spans="1:26" customHeight="1" ht="18" hidden="true" outlineLevel="4">
      <c r="A1550" s="2" t="s">
        <v>2915</v>
      </c>
      <c r="B1550" s="3" t="s">
        <v>2916</v>
      </c>
      <c r="C1550" s="2"/>
      <c r="D1550" s="2" t="s">
        <v>16</v>
      </c>
      <c r="E1550" s="4">
        <f>39.38*(1-Z1%)</f>
        <v>39.38</v>
      </c>
      <c r="F1550" s="2">
        <v>2</v>
      </c>
      <c r="G1550" s="2"/>
    </row>
    <row r="1551" spans="1:26" customHeight="1" ht="36" hidden="true" outlineLevel="4">
      <c r="A1551" s="2" t="s">
        <v>2917</v>
      </c>
      <c r="B1551" s="3" t="s">
        <v>2918</v>
      </c>
      <c r="C1551" s="2"/>
      <c r="D1551" s="2" t="s">
        <v>16</v>
      </c>
      <c r="E1551" s="4">
        <f>70.65*(1-Z1%)</f>
        <v>70.65</v>
      </c>
      <c r="F1551" s="2">
        <v>5</v>
      </c>
      <c r="G1551" s="2"/>
    </row>
    <row r="1552" spans="1:26" customHeight="1" ht="36" hidden="true" outlineLevel="4">
      <c r="A1552" s="2" t="s">
        <v>2919</v>
      </c>
      <c r="B1552" s="3" t="s">
        <v>2920</v>
      </c>
      <c r="C1552" s="2"/>
      <c r="D1552" s="2" t="s">
        <v>16</v>
      </c>
      <c r="E1552" s="4">
        <f>80.73*(1-Z1%)</f>
        <v>80.73</v>
      </c>
      <c r="F1552" s="2">
        <v>76</v>
      </c>
      <c r="G1552" s="2"/>
    </row>
    <row r="1553" spans="1:26" customHeight="1" ht="18" hidden="true" outlineLevel="4">
      <c r="A1553" s="2" t="s">
        <v>2921</v>
      </c>
      <c r="B1553" s="3" t="s">
        <v>2922</v>
      </c>
      <c r="C1553" s="2"/>
      <c r="D1553" s="2" t="s">
        <v>16</v>
      </c>
      <c r="E1553" s="4">
        <f>165.74*(1-Z1%)</f>
        <v>165.74</v>
      </c>
      <c r="F1553" s="2">
        <v>3</v>
      </c>
      <c r="G1553" s="2"/>
    </row>
    <row r="1554" spans="1:26" customHeight="1" ht="18" hidden="true" outlineLevel="4">
      <c r="A1554" s="2" t="s">
        <v>2923</v>
      </c>
      <c r="B1554" s="3" t="s">
        <v>2924</v>
      </c>
      <c r="C1554" s="2"/>
      <c r="D1554" s="2" t="s">
        <v>16</v>
      </c>
      <c r="E1554" s="4">
        <f>195.62*(1-Z1%)</f>
        <v>195.62</v>
      </c>
      <c r="F1554" s="2">
        <v>4</v>
      </c>
      <c r="G1554" s="2"/>
    </row>
    <row r="1555" spans="1:26" customHeight="1" ht="18" hidden="true" outlineLevel="4">
      <c r="A1555" s="2" t="s">
        <v>2925</v>
      </c>
      <c r="B1555" s="3" t="s">
        <v>2926</v>
      </c>
      <c r="C1555" s="2"/>
      <c r="D1555" s="2" t="s">
        <v>16</v>
      </c>
      <c r="E1555" s="4">
        <f>192.31*(1-Z1%)</f>
        <v>192.31</v>
      </c>
      <c r="F1555" s="2">
        <v>5</v>
      </c>
      <c r="G1555" s="2"/>
    </row>
    <row r="1556" spans="1:26" customHeight="1" ht="18" hidden="true" outlineLevel="4">
      <c r="A1556" s="2" t="s">
        <v>2927</v>
      </c>
      <c r="B1556" s="3" t="s">
        <v>2928</v>
      </c>
      <c r="C1556" s="2"/>
      <c r="D1556" s="2" t="s">
        <v>16</v>
      </c>
      <c r="E1556" s="4">
        <f>148.24*(1-Z1%)</f>
        <v>148.24</v>
      </c>
      <c r="F1556" s="2">
        <v>1</v>
      </c>
      <c r="G1556" s="2"/>
    </row>
    <row r="1557" spans="1:26" customHeight="1" ht="18" hidden="true" outlineLevel="4">
      <c r="A1557" s="2" t="s">
        <v>2929</v>
      </c>
      <c r="B1557" s="3" t="s">
        <v>2930</v>
      </c>
      <c r="C1557" s="2"/>
      <c r="D1557" s="2" t="s">
        <v>16</v>
      </c>
      <c r="E1557" s="4">
        <f>182.66*(1-Z1%)</f>
        <v>182.66</v>
      </c>
      <c r="F1557" s="2">
        <v>2</v>
      </c>
      <c r="G1557" s="2"/>
    </row>
    <row r="1558" spans="1:26" customHeight="1" ht="18" hidden="true" outlineLevel="4">
      <c r="A1558" s="2" t="s">
        <v>2931</v>
      </c>
      <c r="B1558" s="3" t="s">
        <v>2932</v>
      </c>
      <c r="C1558" s="2"/>
      <c r="D1558" s="2" t="s">
        <v>16</v>
      </c>
      <c r="E1558" s="4">
        <f>162.34*(1-Z1%)</f>
        <v>162.34</v>
      </c>
      <c r="F1558" s="2">
        <v>2</v>
      </c>
      <c r="G1558" s="2"/>
    </row>
    <row r="1559" spans="1:26" customHeight="1" ht="18" hidden="true" outlineLevel="4">
      <c r="A1559" s="2" t="s">
        <v>2933</v>
      </c>
      <c r="B1559" s="3" t="s">
        <v>2934</v>
      </c>
      <c r="C1559" s="2"/>
      <c r="D1559" s="2" t="s">
        <v>16</v>
      </c>
      <c r="E1559" s="4">
        <f>155.39*(1-Z1%)</f>
        <v>155.39</v>
      </c>
      <c r="F1559" s="2">
        <v>3</v>
      </c>
      <c r="G1559" s="2"/>
    </row>
    <row r="1560" spans="1:26" customHeight="1" ht="18" hidden="true" outlineLevel="4">
      <c r="A1560" s="2" t="s">
        <v>2935</v>
      </c>
      <c r="B1560" s="3" t="s">
        <v>2936</v>
      </c>
      <c r="C1560" s="2"/>
      <c r="D1560" s="2" t="s">
        <v>16</v>
      </c>
      <c r="E1560" s="4">
        <f>201.15*(1-Z1%)</f>
        <v>201.15</v>
      </c>
      <c r="F1560" s="2">
        <v>3</v>
      </c>
      <c r="G1560" s="2"/>
    </row>
    <row r="1561" spans="1:26" customHeight="1" ht="18" hidden="true" outlineLevel="4">
      <c r="A1561" s="2" t="s">
        <v>2937</v>
      </c>
      <c r="B1561" s="3" t="s">
        <v>2938</v>
      </c>
      <c r="C1561" s="2"/>
      <c r="D1561" s="2" t="s">
        <v>16</v>
      </c>
      <c r="E1561" s="4">
        <f>190.11*(1-Z1%)</f>
        <v>190.11</v>
      </c>
      <c r="F1561" s="2">
        <v>2</v>
      </c>
      <c r="G1561" s="2"/>
    </row>
    <row r="1562" spans="1:26" customHeight="1" ht="18" hidden="true" outlineLevel="4">
      <c r="A1562" s="2" t="s">
        <v>2939</v>
      </c>
      <c r="B1562" s="3" t="s">
        <v>2940</v>
      </c>
      <c r="C1562" s="2"/>
      <c r="D1562" s="2" t="s">
        <v>16</v>
      </c>
      <c r="E1562" s="4">
        <f>165.60*(1-Z1%)</f>
        <v>165.6</v>
      </c>
      <c r="F1562" s="2">
        <v>3</v>
      </c>
      <c r="G1562" s="2"/>
    </row>
    <row r="1563" spans="1:26" customHeight="1" ht="18" hidden="true" outlineLevel="4">
      <c r="A1563" s="2" t="s">
        <v>2941</v>
      </c>
      <c r="B1563" s="3" t="s">
        <v>2942</v>
      </c>
      <c r="C1563" s="2"/>
      <c r="D1563" s="2" t="s">
        <v>16</v>
      </c>
      <c r="E1563" s="4">
        <f>212.55*(1-Z1%)</f>
        <v>212.55</v>
      </c>
      <c r="F1563" s="2">
        <v>5</v>
      </c>
      <c r="G1563" s="2"/>
    </row>
    <row r="1564" spans="1:26" customHeight="1" ht="35" hidden="true" outlineLevel="4">
      <c r="A1564" s="5" t="s">
        <v>2943</v>
      </c>
      <c r="B1564" s="5"/>
      <c r="C1564" s="5"/>
      <c r="D1564" s="5"/>
      <c r="E1564" s="5"/>
      <c r="F1564" s="5"/>
      <c r="G1564" s="5"/>
    </row>
    <row r="1565" spans="1:26" customHeight="1" ht="18" hidden="true" outlineLevel="4">
      <c r="A1565" s="2" t="s">
        <v>2944</v>
      </c>
      <c r="B1565" s="3" t="s">
        <v>2945</v>
      </c>
      <c r="C1565" s="2"/>
      <c r="D1565" s="2" t="s">
        <v>16</v>
      </c>
      <c r="E1565" s="4">
        <f>196.79*(1-Z1%)</f>
        <v>196.79</v>
      </c>
      <c r="F1565" s="2">
        <v>11</v>
      </c>
      <c r="G1565" s="2"/>
    </row>
    <row r="1566" spans="1:26" customHeight="1" ht="18" hidden="true" outlineLevel="4">
      <c r="A1566" s="2" t="s">
        <v>2946</v>
      </c>
      <c r="B1566" s="3" t="s">
        <v>2947</v>
      </c>
      <c r="C1566" s="2"/>
      <c r="D1566" s="2" t="s">
        <v>16</v>
      </c>
      <c r="E1566" s="4">
        <f>196.79*(1-Z1%)</f>
        <v>196.79</v>
      </c>
      <c r="F1566" s="2">
        <v>18</v>
      </c>
      <c r="G1566" s="2"/>
    </row>
    <row r="1567" spans="1:26" customHeight="1" ht="18" hidden="true" outlineLevel="4">
      <c r="A1567" s="2" t="s">
        <v>2948</v>
      </c>
      <c r="B1567" s="3" t="s">
        <v>2949</v>
      </c>
      <c r="C1567" s="2"/>
      <c r="D1567" s="2" t="s">
        <v>16</v>
      </c>
      <c r="E1567" s="4">
        <f>146.18*(1-Z1%)</f>
        <v>146.18</v>
      </c>
      <c r="F1567" s="2">
        <v>3</v>
      </c>
      <c r="G1567" s="2"/>
    </row>
    <row r="1568" spans="1:26" customHeight="1" ht="18" hidden="true" outlineLevel="4">
      <c r="A1568" s="2" t="s">
        <v>2950</v>
      </c>
      <c r="B1568" s="3" t="s">
        <v>2951</v>
      </c>
      <c r="C1568" s="2"/>
      <c r="D1568" s="2" t="s">
        <v>16</v>
      </c>
      <c r="E1568" s="4">
        <f>200.27*(1-Z1%)</f>
        <v>200.27</v>
      </c>
      <c r="F1568" s="2">
        <v>6</v>
      </c>
      <c r="G1568" s="2"/>
    </row>
    <row r="1569" spans="1:26" customHeight="1" ht="18" hidden="true" outlineLevel="4">
      <c r="A1569" s="2" t="s">
        <v>2952</v>
      </c>
      <c r="B1569" s="3" t="s">
        <v>2953</v>
      </c>
      <c r="C1569" s="2"/>
      <c r="D1569" s="2" t="s">
        <v>16</v>
      </c>
      <c r="E1569" s="4">
        <f>200.27*(1-Z1%)</f>
        <v>200.27</v>
      </c>
      <c r="F1569" s="2">
        <v>4</v>
      </c>
      <c r="G1569" s="2"/>
    </row>
    <row r="1570" spans="1:26" customHeight="1" ht="18" hidden="true" outlineLevel="4">
      <c r="A1570" s="2" t="s">
        <v>2954</v>
      </c>
      <c r="B1570" s="3" t="s">
        <v>2955</v>
      </c>
      <c r="C1570" s="2"/>
      <c r="D1570" s="2" t="s">
        <v>16</v>
      </c>
      <c r="E1570" s="4">
        <f>187.52*(1-Z1%)</f>
        <v>187.52</v>
      </c>
      <c r="F1570" s="2">
        <v>3</v>
      </c>
      <c r="G1570" s="2"/>
    </row>
    <row r="1571" spans="1:26" customHeight="1" ht="18" hidden="true" outlineLevel="4">
      <c r="A1571" s="2" t="s">
        <v>2956</v>
      </c>
      <c r="B1571" s="3" t="s">
        <v>2957</v>
      </c>
      <c r="C1571" s="2"/>
      <c r="D1571" s="2" t="s">
        <v>16</v>
      </c>
      <c r="E1571" s="4">
        <f>176.10*(1-Z1%)</f>
        <v>176.1</v>
      </c>
      <c r="F1571" s="2">
        <v>8</v>
      </c>
      <c r="G1571" s="2"/>
    </row>
    <row r="1572" spans="1:26" customHeight="1" ht="18" hidden="true" outlineLevel="4">
      <c r="A1572" s="2" t="s">
        <v>2958</v>
      </c>
      <c r="B1572" s="3" t="s">
        <v>2959</v>
      </c>
      <c r="C1572" s="2"/>
      <c r="D1572" s="2" t="s">
        <v>16</v>
      </c>
      <c r="E1572" s="4">
        <f>174.94*(1-Z1%)</f>
        <v>174.94</v>
      </c>
      <c r="F1572" s="2">
        <v>2</v>
      </c>
      <c r="G1572" s="2"/>
    </row>
    <row r="1573" spans="1:26" customHeight="1" ht="18" hidden="true" outlineLevel="4">
      <c r="A1573" s="2" t="s">
        <v>2960</v>
      </c>
      <c r="B1573" s="3" t="s">
        <v>2961</v>
      </c>
      <c r="C1573" s="2"/>
      <c r="D1573" s="2" t="s">
        <v>16</v>
      </c>
      <c r="E1573" s="4">
        <f>198.76*(1-Z1%)</f>
        <v>198.76</v>
      </c>
      <c r="F1573" s="2">
        <v>3</v>
      </c>
      <c r="G1573" s="2"/>
    </row>
    <row r="1574" spans="1:26" customHeight="1" ht="18" hidden="true" outlineLevel="4">
      <c r="A1574" s="2" t="s">
        <v>2962</v>
      </c>
      <c r="B1574" s="3" t="s">
        <v>2963</v>
      </c>
      <c r="C1574" s="2"/>
      <c r="D1574" s="2" t="s">
        <v>16</v>
      </c>
      <c r="E1574" s="4">
        <f>146.18*(1-Z1%)</f>
        <v>146.18</v>
      </c>
      <c r="F1574" s="2">
        <v>7</v>
      </c>
      <c r="G1574" s="2"/>
    </row>
    <row r="1575" spans="1:26" customHeight="1" ht="18" hidden="true" outlineLevel="4">
      <c r="A1575" s="2" t="s">
        <v>2964</v>
      </c>
      <c r="B1575" s="3" t="s">
        <v>2965</v>
      </c>
      <c r="C1575" s="2"/>
      <c r="D1575" s="2" t="s">
        <v>16</v>
      </c>
      <c r="E1575" s="4">
        <f>146.18*(1-Z1%)</f>
        <v>146.18</v>
      </c>
      <c r="F1575" s="2">
        <v>5</v>
      </c>
      <c r="G1575" s="2"/>
    </row>
    <row r="1576" spans="1:26" customHeight="1" ht="36" hidden="true" outlineLevel="4">
      <c r="A1576" s="2" t="s">
        <v>2966</v>
      </c>
      <c r="B1576" s="3" t="s">
        <v>2967</v>
      </c>
      <c r="C1576" s="2"/>
      <c r="D1576" s="2" t="s">
        <v>16</v>
      </c>
      <c r="E1576" s="4">
        <f>363.82*(1-Z1%)</f>
        <v>363.82</v>
      </c>
      <c r="F1576" s="2">
        <v>1</v>
      </c>
      <c r="G1576" s="2"/>
    </row>
    <row r="1577" spans="1:26" customHeight="1" ht="36" hidden="true" outlineLevel="4">
      <c r="A1577" s="2" t="s">
        <v>2968</v>
      </c>
      <c r="B1577" s="3" t="s">
        <v>2969</v>
      </c>
      <c r="C1577" s="2"/>
      <c r="D1577" s="2" t="s">
        <v>16</v>
      </c>
      <c r="E1577" s="4">
        <f>281.78*(1-Z1%)</f>
        <v>281.78</v>
      </c>
      <c r="F1577" s="2">
        <v>3</v>
      </c>
      <c r="G1577" s="2"/>
    </row>
    <row r="1578" spans="1:26" customHeight="1" ht="36" hidden="true" outlineLevel="4">
      <c r="A1578" s="2" t="s">
        <v>2970</v>
      </c>
      <c r="B1578" s="3" t="s">
        <v>2971</v>
      </c>
      <c r="C1578" s="2"/>
      <c r="D1578" s="2" t="s">
        <v>16</v>
      </c>
      <c r="E1578" s="4">
        <f>281.57*(1-Z1%)</f>
        <v>281.57</v>
      </c>
      <c r="F1578" s="2">
        <v>3</v>
      </c>
      <c r="G1578" s="2"/>
    </row>
    <row r="1579" spans="1:26" customHeight="1" ht="18" hidden="true" outlineLevel="4">
      <c r="A1579" s="2" t="s">
        <v>2972</v>
      </c>
      <c r="B1579" s="3" t="s">
        <v>2973</v>
      </c>
      <c r="C1579" s="2"/>
      <c r="D1579" s="2" t="s">
        <v>16</v>
      </c>
      <c r="E1579" s="4">
        <f>164.59*(1-Z1%)</f>
        <v>164.59</v>
      </c>
      <c r="F1579" s="2">
        <v>4</v>
      </c>
      <c r="G1579" s="2"/>
    </row>
    <row r="1580" spans="1:26" customHeight="1" ht="18" hidden="true" outlineLevel="4">
      <c r="A1580" s="2" t="s">
        <v>2974</v>
      </c>
      <c r="B1580" s="3" t="s">
        <v>2975</v>
      </c>
      <c r="C1580" s="2"/>
      <c r="D1580" s="2" t="s">
        <v>16</v>
      </c>
      <c r="E1580" s="4">
        <f>240.57*(1-Z1%)</f>
        <v>240.57</v>
      </c>
      <c r="F1580" s="2">
        <v>6</v>
      </c>
      <c r="G1580" s="2"/>
    </row>
    <row r="1581" spans="1:26" customHeight="1" ht="18" hidden="true" outlineLevel="4">
      <c r="A1581" s="2" t="s">
        <v>2976</v>
      </c>
      <c r="B1581" s="3" t="s">
        <v>2977</v>
      </c>
      <c r="C1581" s="2"/>
      <c r="D1581" s="2" t="s">
        <v>16</v>
      </c>
      <c r="E1581" s="4">
        <f>192.21*(1-Z1%)</f>
        <v>192.21</v>
      </c>
      <c r="F1581" s="2">
        <v>2</v>
      </c>
      <c r="G1581" s="2"/>
    </row>
    <row r="1582" spans="1:26" customHeight="1" ht="35" hidden="true" outlineLevel="3">
      <c r="A1582" s="5" t="s">
        <v>2978</v>
      </c>
      <c r="B1582" s="5"/>
      <c r="C1582" s="5"/>
      <c r="D1582" s="5"/>
      <c r="E1582" s="5"/>
      <c r="F1582" s="5"/>
      <c r="G1582" s="5"/>
    </row>
    <row r="1583" spans="1:26" customHeight="1" ht="18" hidden="true" outlineLevel="3">
      <c r="A1583" s="2" t="s">
        <v>2979</v>
      </c>
      <c r="B1583" s="3" t="s">
        <v>2980</v>
      </c>
      <c r="C1583" s="2"/>
      <c r="D1583" s="2" t="s">
        <v>16</v>
      </c>
      <c r="E1583" s="4">
        <f>444.67*(1-Z1%)</f>
        <v>444.67</v>
      </c>
      <c r="F1583" s="2">
        <v>2</v>
      </c>
      <c r="G1583" s="2"/>
    </row>
    <row r="1584" spans="1:26" customHeight="1" ht="35" hidden="true" outlineLevel="3">
      <c r="A1584" s="5" t="s">
        <v>2981</v>
      </c>
      <c r="B1584" s="5"/>
      <c r="C1584" s="5"/>
      <c r="D1584" s="5"/>
      <c r="E1584" s="5"/>
      <c r="F1584" s="5"/>
      <c r="G1584" s="5"/>
    </row>
    <row r="1585" spans="1:26" customHeight="1" ht="35" hidden="true" outlineLevel="4">
      <c r="A1585" s="5" t="s">
        <v>2982</v>
      </c>
      <c r="B1585" s="5"/>
      <c r="C1585" s="5"/>
      <c r="D1585" s="5"/>
      <c r="E1585" s="5"/>
      <c r="F1585" s="5"/>
      <c r="G1585" s="5"/>
    </row>
    <row r="1586" spans="1:26" customHeight="1" ht="18" hidden="true" outlineLevel="4">
      <c r="A1586" s="2" t="s">
        <v>2983</v>
      </c>
      <c r="B1586" s="3" t="s">
        <v>2984</v>
      </c>
      <c r="C1586" s="2"/>
      <c r="D1586" s="2" t="s">
        <v>16</v>
      </c>
      <c r="E1586" s="4">
        <f>278.73*(1-Z1%)</f>
        <v>278.73</v>
      </c>
      <c r="F1586" s="2">
        <v>20</v>
      </c>
      <c r="G1586" s="2"/>
    </row>
    <row r="1587" spans="1:26" customHeight="1" ht="18" hidden="true" outlineLevel="4">
      <c r="A1587" s="2" t="s">
        <v>2985</v>
      </c>
      <c r="B1587" s="3" t="s">
        <v>2986</v>
      </c>
      <c r="C1587" s="2"/>
      <c r="D1587" s="2" t="s">
        <v>16</v>
      </c>
      <c r="E1587" s="4">
        <f>453.83*(1-Z1%)</f>
        <v>453.83</v>
      </c>
      <c r="F1587" s="2">
        <v>3</v>
      </c>
      <c r="G1587" s="2"/>
    </row>
    <row r="1588" spans="1:26" customHeight="1" ht="36" hidden="true" outlineLevel="4">
      <c r="A1588" s="2" t="s">
        <v>2987</v>
      </c>
      <c r="B1588" s="3" t="s">
        <v>2988</v>
      </c>
      <c r="C1588" s="2"/>
      <c r="D1588" s="2" t="s">
        <v>16</v>
      </c>
      <c r="E1588" s="4">
        <f>406.39*(1-Z1%)</f>
        <v>406.39</v>
      </c>
      <c r="F1588" s="2">
        <v>4</v>
      </c>
      <c r="G1588" s="2"/>
    </row>
    <row r="1589" spans="1:26" customHeight="1" ht="36" hidden="true" outlineLevel="4">
      <c r="A1589" s="2" t="s">
        <v>2989</v>
      </c>
      <c r="B1589" s="3" t="s">
        <v>2990</v>
      </c>
      <c r="C1589" s="2"/>
      <c r="D1589" s="2" t="s">
        <v>16</v>
      </c>
      <c r="E1589" s="4">
        <f>234.36*(1-Z1%)</f>
        <v>234.36</v>
      </c>
      <c r="F1589" s="2">
        <v>2</v>
      </c>
      <c r="G1589" s="2"/>
    </row>
    <row r="1590" spans="1:26" customHeight="1" ht="18" hidden="true" outlineLevel="4">
      <c r="A1590" s="2" t="s">
        <v>2991</v>
      </c>
      <c r="B1590" s="3" t="s">
        <v>2992</v>
      </c>
      <c r="C1590" s="2"/>
      <c r="D1590" s="2" t="s">
        <v>16</v>
      </c>
      <c r="E1590" s="4">
        <f>171.86*(1-Z1%)</f>
        <v>171.86</v>
      </c>
      <c r="F1590" s="2">
        <v>12</v>
      </c>
      <c r="G1590" s="2"/>
    </row>
    <row r="1591" spans="1:26" customHeight="1" ht="18" hidden="true" outlineLevel="4">
      <c r="A1591" s="2" t="s">
        <v>2993</v>
      </c>
      <c r="B1591" s="3" t="s">
        <v>2994</v>
      </c>
      <c r="C1591" s="2"/>
      <c r="D1591" s="2" t="s">
        <v>16</v>
      </c>
      <c r="E1591" s="4">
        <f>171.86*(1-Z1%)</f>
        <v>171.86</v>
      </c>
      <c r="F1591" s="2">
        <v>10</v>
      </c>
      <c r="G1591" s="2"/>
    </row>
    <row r="1592" spans="1:26" customHeight="1" ht="18" hidden="true" outlineLevel="4">
      <c r="A1592" s="2" t="s">
        <v>2995</v>
      </c>
      <c r="B1592" s="3" t="s">
        <v>2996</v>
      </c>
      <c r="C1592" s="2"/>
      <c r="D1592" s="2" t="s">
        <v>16</v>
      </c>
      <c r="E1592" s="4">
        <f>177.84*(1-Z1%)</f>
        <v>177.84</v>
      </c>
      <c r="F1592" s="2">
        <v>10</v>
      </c>
      <c r="G1592" s="2"/>
    </row>
    <row r="1593" spans="1:26" customHeight="1" ht="36" hidden="true" outlineLevel="4">
      <c r="A1593" s="2" t="s">
        <v>2997</v>
      </c>
      <c r="B1593" s="3" t="s">
        <v>2998</v>
      </c>
      <c r="C1593" s="2"/>
      <c r="D1593" s="2" t="s">
        <v>16</v>
      </c>
      <c r="E1593" s="4">
        <f>342.86*(1-Z1%)</f>
        <v>342.86</v>
      </c>
      <c r="F1593" s="2">
        <v>10</v>
      </c>
      <c r="G1593" s="2"/>
    </row>
    <row r="1594" spans="1:26" customHeight="1" ht="36" hidden="true" outlineLevel="4">
      <c r="A1594" s="2" t="s">
        <v>2999</v>
      </c>
      <c r="B1594" s="3" t="s">
        <v>3000</v>
      </c>
      <c r="C1594" s="2"/>
      <c r="D1594" s="2" t="s">
        <v>16</v>
      </c>
      <c r="E1594" s="4">
        <f>224.87*(1-Z1%)</f>
        <v>224.87</v>
      </c>
      <c r="F1594" s="2">
        <v>9</v>
      </c>
      <c r="G1594" s="2"/>
    </row>
    <row r="1595" spans="1:26" customHeight="1" ht="18" hidden="true" outlineLevel="4">
      <c r="A1595" s="2" t="s">
        <v>3001</v>
      </c>
      <c r="B1595" s="3" t="s">
        <v>3002</v>
      </c>
      <c r="C1595" s="2"/>
      <c r="D1595" s="2" t="s">
        <v>16</v>
      </c>
      <c r="E1595" s="4">
        <f>154.76*(1-Z1%)</f>
        <v>154.76</v>
      </c>
      <c r="F1595" s="2">
        <v>5</v>
      </c>
      <c r="G1595" s="2"/>
    </row>
    <row r="1596" spans="1:26" customHeight="1" ht="36" hidden="true" outlineLevel="4">
      <c r="A1596" s="2" t="s">
        <v>3003</v>
      </c>
      <c r="B1596" s="3" t="s">
        <v>3004</v>
      </c>
      <c r="C1596" s="2"/>
      <c r="D1596" s="2" t="s">
        <v>16</v>
      </c>
      <c r="E1596" s="4">
        <f>271.04*(1-Z1%)</f>
        <v>271.04</v>
      </c>
      <c r="F1596" s="2">
        <v>17</v>
      </c>
      <c r="G1596" s="2"/>
    </row>
    <row r="1597" spans="1:26" customHeight="1" ht="18" hidden="true" outlineLevel="4">
      <c r="A1597" s="2" t="s">
        <v>3005</v>
      </c>
      <c r="B1597" s="3" t="s">
        <v>3006</v>
      </c>
      <c r="C1597" s="2"/>
      <c r="D1597" s="2" t="s">
        <v>16</v>
      </c>
      <c r="E1597" s="4">
        <f>266.12*(1-Z1%)</f>
        <v>266.12</v>
      </c>
      <c r="F1597" s="2">
        <v>2</v>
      </c>
      <c r="G1597" s="2"/>
    </row>
    <row r="1598" spans="1:26" customHeight="1" ht="35" hidden="true" outlineLevel="4">
      <c r="A1598" s="5" t="s">
        <v>3007</v>
      </c>
      <c r="B1598" s="5"/>
      <c r="C1598" s="5"/>
      <c r="D1598" s="5"/>
      <c r="E1598" s="5"/>
      <c r="F1598" s="5"/>
      <c r="G1598" s="5"/>
    </row>
    <row r="1599" spans="1:26" customHeight="1" ht="36" hidden="true" outlineLevel="4">
      <c r="A1599" s="2" t="s">
        <v>3008</v>
      </c>
      <c r="B1599" s="3" t="s">
        <v>3009</v>
      </c>
      <c r="C1599" s="2"/>
      <c r="D1599" s="2" t="s">
        <v>16</v>
      </c>
      <c r="E1599" s="4">
        <f>551.57*(1-Z1%)</f>
        <v>551.57</v>
      </c>
      <c r="F1599" s="2">
        <v>1</v>
      </c>
      <c r="G1599" s="2"/>
    </row>
    <row r="1600" spans="1:26" customHeight="1" ht="36" hidden="true" outlineLevel="4">
      <c r="A1600" s="2" t="s">
        <v>3010</v>
      </c>
      <c r="B1600" s="3" t="s">
        <v>3011</v>
      </c>
      <c r="C1600" s="2"/>
      <c r="D1600" s="2" t="s">
        <v>16</v>
      </c>
      <c r="E1600" s="4">
        <f>530.21*(1-Z1%)</f>
        <v>530.21</v>
      </c>
      <c r="F1600" s="2">
        <v>3</v>
      </c>
      <c r="G1600" s="2"/>
    </row>
    <row r="1601" spans="1:26" customHeight="1" ht="36" hidden="true" outlineLevel="4">
      <c r="A1601" s="2" t="s">
        <v>3012</v>
      </c>
      <c r="B1601" s="3" t="s">
        <v>3013</v>
      </c>
      <c r="C1601" s="2"/>
      <c r="D1601" s="2" t="s">
        <v>16</v>
      </c>
      <c r="E1601" s="4">
        <f>467.71*(1-Z1%)</f>
        <v>467.71</v>
      </c>
      <c r="F1601" s="2">
        <v>1</v>
      </c>
      <c r="G1601" s="2"/>
    </row>
    <row r="1602" spans="1:26" customHeight="1" ht="36" hidden="true" outlineLevel="4">
      <c r="A1602" s="2" t="s">
        <v>3014</v>
      </c>
      <c r="B1602" s="3" t="s">
        <v>3015</v>
      </c>
      <c r="C1602" s="2"/>
      <c r="D1602" s="2" t="s">
        <v>16</v>
      </c>
      <c r="E1602" s="4">
        <f>428.16*(1-Z1%)</f>
        <v>428.16</v>
      </c>
      <c r="F1602" s="2">
        <v>4</v>
      </c>
      <c r="G1602" s="2"/>
    </row>
    <row r="1603" spans="1:26" customHeight="1" ht="36" hidden="true" outlineLevel="4">
      <c r="A1603" s="2" t="s">
        <v>3016</v>
      </c>
      <c r="B1603" s="3" t="s">
        <v>3017</v>
      </c>
      <c r="C1603" s="2"/>
      <c r="D1603" s="2" t="s">
        <v>16</v>
      </c>
      <c r="E1603" s="4">
        <f>416.32*(1-Z1%)</f>
        <v>416.32</v>
      </c>
      <c r="F1603" s="2">
        <v>9</v>
      </c>
      <c r="G1603" s="2"/>
    </row>
    <row r="1604" spans="1:26" customHeight="1" ht="36" hidden="true" outlineLevel="4">
      <c r="A1604" s="2" t="s">
        <v>3018</v>
      </c>
      <c r="B1604" s="3" t="s">
        <v>3019</v>
      </c>
      <c r="C1604" s="2"/>
      <c r="D1604" s="2" t="s">
        <v>16</v>
      </c>
      <c r="E1604" s="4">
        <f>416.32*(1-Z1%)</f>
        <v>416.32</v>
      </c>
      <c r="F1604" s="2">
        <v>5</v>
      </c>
      <c r="G1604" s="2"/>
    </row>
    <row r="1605" spans="1:26" customHeight="1" ht="36" hidden="true" outlineLevel="4">
      <c r="A1605" s="2" t="s">
        <v>3020</v>
      </c>
      <c r="B1605" s="3" t="s">
        <v>3021</v>
      </c>
      <c r="C1605" s="2"/>
      <c r="D1605" s="2" t="s">
        <v>16</v>
      </c>
      <c r="E1605" s="4">
        <f>438.57*(1-Z1%)</f>
        <v>438.57</v>
      </c>
      <c r="F1605" s="2">
        <v>1</v>
      </c>
      <c r="G1605" s="2"/>
    </row>
    <row r="1606" spans="1:26" customHeight="1" ht="36" hidden="true" outlineLevel="4">
      <c r="A1606" s="2" t="s">
        <v>3022</v>
      </c>
      <c r="B1606" s="3" t="s">
        <v>3023</v>
      </c>
      <c r="C1606" s="2"/>
      <c r="D1606" s="2" t="s">
        <v>16</v>
      </c>
      <c r="E1606" s="4">
        <f>393.08*(1-Z1%)</f>
        <v>393.08</v>
      </c>
      <c r="F1606" s="2">
        <v>3</v>
      </c>
      <c r="G1606" s="2"/>
    </row>
    <row r="1607" spans="1:26" customHeight="1" ht="36" hidden="true" outlineLevel="4">
      <c r="A1607" s="2" t="s">
        <v>3024</v>
      </c>
      <c r="B1607" s="3" t="s">
        <v>3025</v>
      </c>
      <c r="C1607" s="2"/>
      <c r="D1607" s="2" t="s">
        <v>16</v>
      </c>
      <c r="E1607" s="4">
        <f>365.96*(1-Z1%)</f>
        <v>365.96</v>
      </c>
      <c r="F1607" s="2">
        <v>5</v>
      </c>
      <c r="G1607" s="2"/>
    </row>
    <row r="1608" spans="1:26" customHeight="1" ht="36" hidden="true" outlineLevel="4">
      <c r="A1608" s="2" t="s">
        <v>3026</v>
      </c>
      <c r="B1608" s="3" t="s">
        <v>3027</v>
      </c>
      <c r="C1608" s="2"/>
      <c r="D1608" s="2" t="s">
        <v>16</v>
      </c>
      <c r="E1608" s="4">
        <f>323.30*(1-Z1%)</f>
        <v>323.3</v>
      </c>
      <c r="F1608" s="2">
        <v>3</v>
      </c>
      <c r="G1608" s="2"/>
    </row>
    <row r="1609" spans="1:26" customHeight="1" ht="36" hidden="true" outlineLevel="4">
      <c r="A1609" s="2" t="s">
        <v>3028</v>
      </c>
      <c r="B1609" s="3" t="s">
        <v>3029</v>
      </c>
      <c r="C1609" s="2"/>
      <c r="D1609" s="2" t="s">
        <v>16</v>
      </c>
      <c r="E1609" s="4">
        <f>603.98*(1-Z1%)</f>
        <v>603.98</v>
      </c>
      <c r="F1609" s="2">
        <v>5</v>
      </c>
      <c r="G1609" s="2"/>
    </row>
    <row r="1610" spans="1:26" customHeight="1" ht="36" hidden="true" outlineLevel="4">
      <c r="A1610" s="2" t="s">
        <v>3030</v>
      </c>
      <c r="B1610" s="3" t="s">
        <v>3031</v>
      </c>
      <c r="C1610" s="2"/>
      <c r="D1610" s="2" t="s">
        <v>16</v>
      </c>
      <c r="E1610" s="4">
        <f>588.59*(1-Z1%)</f>
        <v>588.59</v>
      </c>
      <c r="F1610" s="2">
        <v>2</v>
      </c>
      <c r="G1610" s="2"/>
    </row>
    <row r="1611" spans="1:26" customHeight="1" ht="36" hidden="true" outlineLevel="4">
      <c r="A1611" s="2" t="s">
        <v>3032</v>
      </c>
      <c r="B1611" s="3" t="s">
        <v>3033</v>
      </c>
      <c r="C1611" s="2"/>
      <c r="D1611" s="2" t="s">
        <v>16</v>
      </c>
      <c r="E1611" s="4">
        <f>547.52*(1-Z1%)</f>
        <v>547.52</v>
      </c>
      <c r="F1611" s="2">
        <v>1</v>
      </c>
      <c r="G1611" s="2"/>
    </row>
    <row r="1612" spans="1:26" customHeight="1" ht="18" hidden="true" outlineLevel="4">
      <c r="A1612" s="2" t="s">
        <v>3034</v>
      </c>
      <c r="B1612" s="3" t="s">
        <v>3035</v>
      </c>
      <c r="C1612" s="2"/>
      <c r="D1612" s="2" t="s">
        <v>16</v>
      </c>
      <c r="E1612" s="4">
        <f>357.75*(1-Z1%)</f>
        <v>357.75</v>
      </c>
      <c r="F1612" s="2">
        <v>20</v>
      </c>
      <c r="G1612" s="2"/>
    </row>
    <row r="1613" spans="1:26" customHeight="1" ht="36" hidden="true" outlineLevel="4">
      <c r="A1613" s="2" t="s">
        <v>3036</v>
      </c>
      <c r="B1613" s="3" t="s">
        <v>3037</v>
      </c>
      <c r="C1613" s="2"/>
      <c r="D1613" s="2" t="s">
        <v>16</v>
      </c>
      <c r="E1613" s="4">
        <f>410.89*(1-Z1%)</f>
        <v>410.89</v>
      </c>
      <c r="F1613" s="2">
        <v>2</v>
      </c>
      <c r="G1613" s="2"/>
    </row>
    <row r="1614" spans="1:26" customHeight="1" ht="35" hidden="true" outlineLevel="4">
      <c r="A1614" s="5" t="s">
        <v>3038</v>
      </c>
      <c r="B1614" s="5"/>
      <c r="C1614" s="5"/>
      <c r="D1614" s="5"/>
      <c r="E1614" s="5"/>
      <c r="F1614" s="5"/>
      <c r="G1614" s="5"/>
    </row>
    <row r="1615" spans="1:26" customHeight="1" ht="18" hidden="true" outlineLevel="4">
      <c r="A1615" s="2" t="s">
        <v>3039</v>
      </c>
      <c r="B1615" s="3" t="s">
        <v>3040</v>
      </c>
      <c r="C1615" s="2"/>
      <c r="D1615" s="2" t="s">
        <v>16</v>
      </c>
      <c r="E1615" s="4">
        <f>799.71*(1-Z1%)</f>
        <v>799.71</v>
      </c>
      <c r="F1615" s="2">
        <v>1</v>
      </c>
      <c r="G1615" s="2"/>
    </row>
    <row r="1616" spans="1:26" customHeight="1" ht="36" hidden="true" outlineLevel="4">
      <c r="A1616" s="2" t="s">
        <v>3041</v>
      </c>
      <c r="B1616" s="3" t="s">
        <v>3042</v>
      </c>
      <c r="C1616" s="2"/>
      <c r="D1616" s="2" t="s">
        <v>16</v>
      </c>
      <c r="E1616" s="4">
        <f>516.00*(1-Z1%)</f>
        <v>516</v>
      </c>
      <c r="F1616" s="2">
        <v>3</v>
      </c>
      <c r="G1616" s="2"/>
    </row>
    <row r="1617" spans="1:26" customHeight="1" ht="36" hidden="true" outlineLevel="4">
      <c r="A1617" s="2" t="s">
        <v>3043</v>
      </c>
      <c r="B1617" s="3" t="s">
        <v>3044</v>
      </c>
      <c r="C1617" s="2"/>
      <c r="D1617" s="2" t="s">
        <v>16</v>
      </c>
      <c r="E1617" s="4">
        <f>348.36*(1-Z1%)</f>
        <v>348.36</v>
      </c>
      <c r="F1617" s="2">
        <v>7</v>
      </c>
      <c r="G1617" s="2"/>
    </row>
    <row r="1618" spans="1:26" customHeight="1" ht="36" hidden="true" outlineLevel="4">
      <c r="A1618" s="2" t="s">
        <v>3045</v>
      </c>
      <c r="B1618" s="3" t="s">
        <v>3046</v>
      </c>
      <c r="C1618" s="2"/>
      <c r="D1618" s="2" t="s">
        <v>16</v>
      </c>
      <c r="E1618" s="4">
        <f>445.91*(1-Z1%)</f>
        <v>445.91</v>
      </c>
      <c r="F1618" s="2">
        <v>6</v>
      </c>
      <c r="G1618" s="2"/>
    </row>
    <row r="1619" spans="1:26" customHeight="1" ht="35" hidden="true" outlineLevel="4">
      <c r="A1619" s="5" t="s">
        <v>3047</v>
      </c>
      <c r="B1619" s="5"/>
      <c r="C1619" s="5"/>
      <c r="D1619" s="5"/>
      <c r="E1619" s="5"/>
      <c r="F1619" s="5"/>
      <c r="G1619" s="5"/>
    </row>
    <row r="1620" spans="1:26" customHeight="1" ht="18" hidden="true" outlineLevel="4">
      <c r="A1620" s="2" t="s">
        <v>3048</v>
      </c>
      <c r="B1620" s="3" t="s">
        <v>3049</v>
      </c>
      <c r="C1620" s="2"/>
      <c r="D1620" s="2" t="s">
        <v>16</v>
      </c>
      <c r="E1620" s="4">
        <f>109.29*(1-Z1%)</f>
        <v>109.29</v>
      </c>
      <c r="F1620" s="2">
        <v>26</v>
      </c>
      <c r="G1620" s="2"/>
    </row>
    <row r="1621" spans="1:26" customHeight="1" ht="18" hidden="true" outlineLevel="4">
      <c r="A1621" s="2" t="s">
        <v>3050</v>
      </c>
      <c r="B1621" s="3" t="s">
        <v>3051</v>
      </c>
      <c r="C1621" s="2"/>
      <c r="D1621" s="2" t="s">
        <v>16</v>
      </c>
      <c r="E1621" s="4">
        <f>134.47*(1-Z1%)</f>
        <v>134.47</v>
      </c>
      <c r="F1621" s="2">
        <v>4</v>
      </c>
      <c r="G1621" s="2"/>
    </row>
    <row r="1622" spans="1:26" customHeight="1" ht="35" hidden="true" outlineLevel="4">
      <c r="A1622" s="5" t="s">
        <v>3052</v>
      </c>
      <c r="B1622" s="5"/>
      <c r="C1622" s="5"/>
      <c r="D1622" s="5"/>
      <c r="E1622" s="5"/>
      <c r="F1622" s="5"/>
      <c r="G1622" s="5"/>
    </row>
    <row r="1623" spans="1:26" customHeight="1" ht="18" hidden="true" outlineLevel="4">
      <c r="A1623" s="2" t="s">
        <v>3053</v>
      </c>
      <c r="B1623" s="3" t="s">
        <v>3054</v>
      </c>
      <c r="C1623" s="2"/>
      <c r="D1623" s="2" t="s">
        <v>16</v>
      </c>
      <c r="E1623" s="4">
        <f>53.21*(1-Z1%)</f>
        <v>53.21</v>
      </c>
      <c r="F1623" s="2">
        <v>1</v>
      </c>
      <c r="G1623" s="2"/>
    </row>
    <row r="1624" spans="1:26" customHeight="1" ht="18" hidden="true" outlineLevel="4">
      <c r="A1624" s="2" t="s">
        <v>3055</v>
      </c>
      <c r="B1624" s="3" t="s">
        <v>3056</v>
      </c>
      <c r="C1624" s="2"/>
      <c r="D1624" s="2" t="s">
        <v>16</v>
      </c>
      <c r="E1624" s="4">
        <f>288.00*(1-Z1%)</f>
        <v>288</v>
      </c>
      <c r="F1624" s="2">
        <v>3</v>
      </c>
      <c r="G1624" s="2"/>
    </row>
    <row r="1625" spans="1:26" customHeight="1" ht="18" hidden="true" outlineLevel="4">
      <c r="A1625" s="2" t="s">
        <v>3057</v>
      </c>
      <c r="B1625" s="3" t="s">
        <v>3058</v>
      </c>
      <c r="C1625" s="2"/>
      <c r="D1625" s="2" t="s">
        <v>16</v>
      </c>
      <c r="E1625" s="4">
        <f>137.50*(1-Z1%)</f>
        <v>137.5</v>
      </c>
      <c r="F1625" s="2">
        <v>3</v>
      </c>
      <c r="G1625" s="2"/>
    </row>
    <row r="1626" spans="1:26" customHeight="1" ht="18" hidden="true" outlineLevel="4">
      <c r="A1626" s="2" t="s">
        <v>3059</v>
      </c>
      <c r="B1626" s="3" t="s">
        <v>3060</v>
      </c>
      <c r="C1626" s="2"/>
      <c r="D1626" s="2" t="s">
        <v>16</v>
      </c>
      <c r="E1626" s="4">
        <f>200.43*(1-Z1%)</f>
        <v>200.43</v>
      </c>
      <c r="F1626" s="2">
        <v>10</v>
      </c>
      <c r="G1626" s="2"/>
    </row>
    <row r="1627" spans="1:26" customHeight="1" ht="18" hidden="true" outlineLevel="4">
      <c r="A1627" s="2" t="s">
        <v>3061</v>
      </c>
      <c r="B1627" s="3" t="s">
        <v>3062</v>
      </c>
      <c r="C1627" s="2"/>
      <c r="D1627" s="2" t="s">
        <v>16</v>
      </c>
      <c r="E1627" s="4">
        <f>213.38*(1-Z1%)</f>
        <v>213.38</v>
      </c>
      <c r="F1627" s="2">
        <v>2</v>
      </c>
      <c r="G1627" s="2"/>
    </row>
    <row r="1628" spans="1:26" customHeight="1" ht="18" hidden="true" outlineLevel="4">
      <c r="A1628" s="2" t="s">
        <v>3063</v>
      </c>
      <c r="B1628" s="3" t="s">
        <v>3064</v>
      </c>
      <c r="C1628" s="2"/>
      <c r="D1628" s="2" t="s">
        <v>16</v>
      </c>
      <c r="E1628" s="4">
        <f>186.45*(1-Z1%)</f>
        <v>186.45</v>
      </c>
      <c r="F1628" s="2">
        <v>4</v>
      </c>
      <c r="G1628" s="2"/>
    </row>
    <row r="1629" spans="1:26" customHeight="1" ht="18" hidden="true" outlineLevel="4">
      <c r="A1629" s="2" t="s">
        <v>3065</v>
      </c>
      <c r="B1629" s="3" t="s">
        <v>3066</v>
      </c>
      <c r="C1629" s="2"/>
      <c r="D1629" s="2" t="s">
        <v>16</v>
      </c>
      <c r="E1629" s="4">
        <f>228.10*(1-Z1%)</f>
        <v>228.1</v>
      </c>
      <c r="F1629" s="2">
        <v>5</v>
      </c>
      <c r="G1629" s="2"/>
    </row>
    <row r="1630" spans="1:26" customHeight="1" ht="18" hidden="true" outlineLevel="4">
      <c r="A1630" s="2" t="s">
        <v>3067</v>
      </c>
      <c r="B1630" s="3" t="s">
        <v>3068</v>
      </c>
      <c r="C1630" s="2"/>
      <c r="D1630" s="2" t="s">
        <v>16</v>
      </c>
      <c r="E1630" s="4">
        <f>159.74*(1-Z1%)</f>
        <v>159.74</v>
      </c>
      <c r="F1630" s="2">
        <v>26</v>
      </c>
      <c r="G1630" s="2"/>
    </row>
    <row r="1631" spans="1:26" customHeight="1" ht="18" hidden="true" outlineLevel="4">
      <c r="A1631" s="2" t="s">
        <v>3069</v>
      </c>
      <c r="B1631" s="3" t="s">
        <v>3070</v>
      </c>
      <c r="C1631" s="2"/>
      <c r="D1631" s="2" t="s">
        <v>16</v>
      </c>
      <c r="E1631" s="4">
        <f>150.58*(1-Z1%)</f>
        <v>150.58</v>
      </c>
      <c r="F1631" s="2">
        <v>22</v>
      </c>
      <c r="G1631" s="2"/>
    </row>
    <row r="1632" spans="1:26" customHeight="1" ht="18" hidden="true" outlineLevel="4">
      <c r="A1632" s="2" t="s">
        <v>3071</v>
      </c>
      <c r="B1632" s="3" t="s">
        <v>3072</v>
      </c>
      <c r="C1632" s="2"/>
      <c r="D1632" s="2" t="s">
        <v>16</v>
      </c>
      <c r="E1632" s="4">
        <f>165.38*(1-Z1%)</f>
        <v>165.38</v>
      </c>
      <c r="F1632" s="2">
        <v>7</v>
      </c>
      <c r="G1632" s="2"/>
    </row>
    <row r="1633" spans="1:26" customHeight="1" ht="18" hidden="true" outlineLevel="4">
      <c r="A1633" s="2" t="s">
        <v>3073</v>
      </c>
      <c r="B1633" s="3" t="s">
        <v>3074</v>
      </c>
      <c r="C1633" s="2"/>
      <c r="D1633" s="2" t="s">
        <v>16</v>
      </c>
      <c r="E1633" s="4">
        <f>161.41*(1-Z1%)</f>
        <v>161.41</v>
      </c>
      <c r="F1633" s="2">
        <v>5</v>
      </c>
      <c r="G1633" s="2"/>
    </row>
    <row r="1634" spans="1:26" customHeight="1" ht="18" hidden="true" outlineLevel="4">
      <c r="A1634" s="2" t="s">
        <v>3075</v>
      </c>
      <c r="B1634" s="3" t="s">
        <v>3076</v>
      </c>
      <c r="C1634" s="2"/>
      <c r="D1634" s="2" t="s">
        <v>16</v>
      </c>
      <c r="E1634" s="4">
        <f>159.27*(1-Z1%)</f>
        <v>159.27</v>
      </c>
      <c r="F1634" s="2">
        <v>3</v>
      </c>
      <c r="G1634" s="2"/>
    </row>
    <row r="1635" spans="1:26" customHeight="1" ht="18" hidden="true" outlineLevel="4">
      <c r="A1635" s="2" t="s">
        <v>3077</v>
      </c>
      <c r="B1635" s="3" t="s">
        <v>3078</v>
      </c>
      <c r="C1635" s="2"/>
      <c r="D1635" s="2" t="s">
        <v>16</v>
      </c>
      <c r="E1635" s="4">
        <f>152.60*(1-Z1%)</f>
        <v>152.6</v>
      </c>
      <c r="F1635" s="2">
        <v>15</v>
      </c>
      <c r="G1635" s="2"/>
    </row>
    <row r="1636" spans="1:26" customHeight="1" ht="18" hidden="true" outlineLevel="4">
      <c r="A1636" s="2" t="s">
        <v>3079</v>
      </c>
      <c r="B1636" s="3" t="s">
        <v>3080</v>
      </c>
      <c r="C1636" s="2"/>
      <c r="D1636" s="2" t="s">
        <v>16</v>
      </c>
      <c r="E1636" s="4">
        <f>152.60*(1-Z1%)</f>
        <v>152.6</v>
      </c>
      <c r="F1636" s="2">
        <v>6</v>
      </c>
      <c r="G1636" s="2"/>
    </row>
    <row r="1637" spans="1:26" customHeight="1" ht="18" hidden="true" outlineLevel="4">
      <c r="A1637" s="2" t="s">
        <v>3081</v>
      </c>
      <c r="B1637" s="3" t="s">
        <v>3082</v>
      </c>
      <c r="C1637" s="2"/>
      <c r="D1637" s="2" t="s">
        <v>16</v>
      </c>
      <c r="E1637" s="4">
        <f>139.67*(1-Z1%)</f>
        <v>139.67</v>
      </c>
      <c r="F1637" s="2">
        <v>4</v>
      </c>
      <c r="G1637" s="2"/>
    </row>
    <row r="1638" spans="1:26" customHeight="1" ht="18" hidden="true" outlineLevel="4">
      <c r="A1638" s="2" t="s">
        <v>3083</v>
      </c>
      <c r="B1638" s="3" t="s">
        <v>3084</v>
      </c>
      <c r="C1638" s="2"/>
      <c r="D1638" s="2" t="s">
        <v>16</v>
      </c>
      <c r="E1638" s="4">
        <f>159.03*(1-Z1%)</f>
        <v>159.03</v>
      </c>
      <c r="F1638" s="2">
        <v>10</v>
      </c>
      <c r="G1638" s="2"/>
    </row>
    <row r="1639" spans="1:26" customHeight="1" ht="18" hidden="true" outlineLevel="4">
      <c r="A1639" s="2" t="s">
        <v>3085</v>
      </c>
      <c r="B1639" s="3" t="s">
        <v>3086</v>
      </c>
      <c r="C1639" s="2"/>
      <c r="D1639" s="2" t="s">
        <v>16</v>
      </c>
      <c r="E1639" s="4">
        <f>150.53*(1-Z1%)</f>
        <v>150.53</v>
      </c>
      <c r="F1639" s="2">
        <v>26</v>
      </c>
      <c r="G1639" s="2"/>
    </row>
    <row r="1640" spans="1:26" customHeight="1" ht="36" hidden="true" outlineLevel="4">
      <c r="A1640" s="2" t="s">
        <v>3087</v>
      </c>
      <c r="B1640" s="3" t="s">
        <v>3088</v>
      </c>
      <c r="C1640" s="2"/>
      <c r="D1640" s="2" t="s">
        <v>16</v>
      </c>
      <c r="E1640" s="4">
        <f>136.97*(1-Z1%)</f>
        <v>136.97</v>
      </c>
      <c r="F1640" s="2">
        <v>7</v>
      </c>
      <c r="G1640" s="2"/>
    </row>
    <row r="1641" spans="1:26" customHeight="1" ht="18" hidden="true" outlineLevel="4">
      <c r="A1641" s="2" t="s">
        <v>3089</v>
      </c>
      <c r="B1641" s="3" t="s">
        <v>3090</v>
      </c>
      <c r="C1641" s="2"/>
      <c r="D1641" s="2" t="s">
        <v>16</v>
      </c>
      <c r="E1641" s="4">
        <f>137.20*(1-Z1%)</f>
        <v>137.2</v>
      </c>
      <c r="F1641" s="2">
        <v>9</v>
      </c>
      <c r="G1641" s="2"/>
    </row>
    <row r="1642" spans="1:26" customHeight="1" ht="18" hidden="true" outlineLevel="4">
      <c r="A1642" s="2" t="s">
        <v>3091</v>
      </c>
      <c r="B1642" s="3" t="s">
        <v>3092</v>
      </c>
      <c r="C1642" s="2"/>
      <c r="D1642" s="2" t="s">
        <v>16</v>
      </c>
      <c r="E1642" s="4">
        <f>205.52*(1-Z1%)</f>
        <v>205.52</v>
      </c>
      <c r="F1642" s="2">
        <v>5</v>
      </c>
      <c r="G1642" s="2"/>
    </row>
    <row r="1643" spans="1:26" customHeight="1" ht="18" hidden="true" outlineLevel="4">
      <c r="A1643" s="2" t="s">
        <v>3093</v>
      </c>
      <c r="B1643" s="3" t="s">
        <v>3094</v>
      </c>
      <c r="C1643" s="2"/>
      <c r="D1643" s="2" t="s">
        <v>16</v>
      </c>
      <c r="E1643" s="4">
        <f>194.96*(1-Z1%)</f>
        <v>194.96</v>
      </c>
      <c r="F1643" s="2">
        <v>10</v>
      </c>
      <c r="G1643" s="2"/>
    </row>
    <row r="1644" spans="1:26" customHeight="1" ht="18" hidden="true" outlineLevel="4">
      <c r="A1644" s="2" t="s">
        <v>3095</v>
      </c>
      <c r="B1644" s="3" t="s">
        <v>3096</v>
      </c>
      <c r="C1644" s="2"/>
      <c r="D1644" s="2" t="s">
        <v>16</v>
      </c>
      <c r="E1644" s="4">
        <f>194.96*(1-Z1%)</f>
        <v>194.96</v>
      </c>
      <c r="F1644" s="2">
        <v>10</v>
      </c>
      <c r="G1644" s="2"/>
    </row>
    <row r="1645" spans="1:26" customHeight="1" ht="36" hidden="true" outlineLevel="4">
      <c r="A1645" s="2" t="s">
        <v>3097</v>
      </c>
      <c r="B1645" s="3" t="s">
        <v>3098</v>
      </c>
      <c r="C1645" s="2"/>
      <c r="D1645" s="2" t="s">
        <v>16</v>
      </c>
      <c r="E1645" s="4">
        <f>91.85*(1-Z1%)</f>
        <v>91.85</v>
      </c>
      <c r="F1645" s="2">
        <v>4</v>
      </c>
      <c r="G1645" s="2"/>
    </row>
    <row r="1646" spans="1:26" customHeight="1" ht="35" hidden="true" outlineLevel="4">
      <c r="A1646" s="5" t="s">
        <v>3099</v>
      </c>
      <c r="B1646" s="5"/>
      <c r="C1646" s="5"/>
      <c r="D1646" s="5"/>
      <c r="E1646" s="5"/>
      <c r="F1646" s="5"/>
      <c r="G1646" s="5"/>
    </row>
    <row r="1647" spans="1:26" customHeight="1" ht="18" hidden="true" outlineLevel="4">
      <c r="A1647" s="2" t="s">
        <v>3100</v>
      </c>
      <c r="B1647" s="3" t="s">
        <v>3101</v>
      </c>
      <c r="C1647" s="2"/>
      <c r="D1647" s="2" t="s">
        <v>16</v>
      </c>
      <c r="E1647" s="4">
        <f>179.48*(1-Z1%)</f>
        <v>179.48</v>
      </c>
      <c r="F1647" s="2">
        <v>1</v>
      </c>
      <c r="G1647" s="2"/>
    </row>
    <row r="1648" spans="1:26" customHeight="1" ht="18" hidden="true" outlineLevel="4">
      <c r="A1648" s="2" t="s">
        <v>3102</v>
      </c>
      <c r="B1648" s="3" t="s">
        <v>3103</v>
      </c>
      <c r="C1648" s="2"/>
      <c r="D1648" s="2" t="s">
        <v>16</v>
      </c>
      <c r="E1648" s="4">
        <f>178.40*(1-Z1%)</f>
        <v>178.4</v>
      </c>
      <c r="F1648" s="2">
        <v>11</v>
      </c>
      <c r="G1648" s="2"/>
    </row>
    <row r="1649" spans="1:26" customHeight="1" ht="36" hidden="true" outlineLevel="4">
      <c r="A1649" s="2" t="s">
        <v>3104</v>
      </c>
      <c r="B1649" s="3" t="s">
        <v>3105</v>
      </c>
      <c r="C1649" s="2"/>
      <c r="D1649" s="2" t="s">
        <v>16</v>
      </c>
      <c r="E1649" s="4">
        <f>241.54*(1-Z1%)</f>
        <v>241.54</v>
      </c>
      <c r="F1649" s="2">
        <v>1</v>
      </c>
      <c r="G1649" s="2"/>
    </row>
    <row r="1650" spans="1:26" customHeight="1" ht="18" hidden="true" outlineLevel="4">
      <c r="A1650" s="2" t="s">
        <v>3106</v>
      </c>
      <c r="B1650" s="3" t="s">
        <v>3107</v>
      </c>
      <c r="C1650" s="2"/>
      <c r="D1650" s="2" t="s">
        <v>16</v>
      </c>
      <c r="E1650" s="4">
        <f>187.81*(1-Z1%)</f>
        <v>187.81</v>
      </c>
      <c r="F1650" s="2">
        <v>1</v>
      </c>
      <c r="G1650" s="2"/>
    </row>
    <row r="1651" spans="1:26" customHeight="1" ht="18" hidden="true" outlineLevel="4">
      <c r="A1651" s="2" t="s">
        <v>3108</v>
      </c>
      <c r="B1651" s="3" t="s">
        <v>3109</v>
      </c>
      <c r="C1651" s="2"/>
      <c r="D1651" s="2" t="s">
        <v>16</v>
      </c>
      <c r="E1651" s="4">
        <f>119.03*(1-Z1%)</f>
        <v>119.03</v>
      </c>
      <c r="F1651" s="2">
        <v>5</v>
      </c>
      <c r="G1651" s="2"/>
    </row>
    <row r="1652" spans="1:26" customHeight="1" ht="18" hidden="true" outlineLevel="4">
      <c r="A1652" s="2" t="s">
        <v>3110</v>
      </c>
      <c r="B1652" s="3" t="s">
        <v>3111</v>
      </c>
      <c r="C1652" s="2"/>
      <c r="D1652" s="2" t="s">
        <v>16</v>
      </c>
      <c r="E1652" s="4">
        <f>119.03*(1-Z1%)</f>
        <v>119.03</v>
      </c>
      <c r="F1652" s="2">
        <v>9</v>
      </c>
      <c r="G1652" s="2"/>
    </row>
    <row r="1653" spans="1:26" customHeight="1" ht="18" hidden="true" outlineLevel="4">
      <c r="A1653" s="2" t="s">
        <v>3112</v>
      </c>
      <c r="B1653" s="3" t="s">
        <v>3113</v>
      </c>
      <c r="C1653" s="2"/>
      <c r="D1653" s="2" t="s">
        <v>16</v>
      </c>
      <c r="E1653" s="4">
        <f>212.93*(1-Z1%)</f>
        <v>212.93</v>
      </c>
      <c r="F1653" s="2">
        <v>11</v>
      </c>
      <c r="G1653" s="2"/>
    </row>
    <row r="1654" spans="1:26" customHeight="1" ht="18" hidden="true" outlineLevel="4">
      <c r="A1654" s="2" t="s">
        <v>3114</v>
      </c>
      <c r="B1654" s="3" t="s">
        <v>3115</v>
      </c>
      <c r="C1654" s="2"/>
      <c r="D1654" s="2" t="s">
        <v>16</v>
      </c>
      <c r="E1654" s="4">
        <f>212.93*(1-Z1%)</f>
        <v>212.93</v>
      </c>
      <c r="F1654" s="2">
        <v>10</v>
      </c>
      <c r="G1654" s="2"/>
    </row>
    <row r="1655" spans="1:26" customHeight="1" ht="18" hidden="true" outlineLevel="4">
      <c r="A1655" s="2" t="s">
        <v>3116</v>
      </c>
      <c r="B1655" s="3" t="s">
        <v>3117</v>
      </c>
      <c r="C1655" s="2"/>
      <c r="D1655" s="2" t="s">
        <v>16</v>
      </c>
      <c r="E1655" s="4">
        <f>196.81*(1-Z1%)</f>
        <v>196.81</v>
      </c>
      <c r="F1655" s="2">
        <v>5</v>
      </c>
      <c r="G1655" s="2"/>
    </row>
    <row r="1656" spans="1:26" customHeight="1" ht="18" hidden="true" outlineLevel="4">
      <c r="A1656" s="2" t="s">
        <v>3118</v>
      </c>
      <c r="B1656" s="3" t="s">
        <v>3119</v>
      </c>
      <c r="C1656" s="2"/>
      <c r="D1656" s="2" t="s">
        <v>16</v>
      </c>
      <c r="E1656" s="4">
        <f>143.55*(1-Z1%)</f>
        <v>143.55</v>
      </c>
      <c r="F1656" s="2">
        <v>1</v>
      </c>
      <c r="G1656" s="2"/>
    </row>
    <row r="1657" spans="1:26" customHeight="1" ht="18" hidden="true" outlineLevel="4">
      <c r="A1657" s="2" t="s">
        <v>3120</v>
      </c>
      <c r="B1657" s="3" t="s">
        <v>3121</v>
      </c>
      <c r="C1657" s="2"/>
      <c r="D1657" s="2" t="s">
        <v>16</v>
      </c>
      <c r="E1657" s="4">
        <f>235.73*(1-Z1%)</f>
        <v>235.73</v>
      </c>
      <c r="F1657" s="2">
        <v>17</v>
      </c>
      <c r="G1657" s="2"/>
    </row>
    <row r="1658" spans="1:26" customHeight="1" ht="18" hidden="true" outlineLevel="4">
      <c r="A1658" s="2" t="s">
        <v>3122</v>
      </c>
      <c r="B1658" s="3" t="s">
        <v>3123</v>
      </c>
      <c r="C1658" s="2"/>
      <c r="D1658" s="2" t="s">
        <v>16</v>
      </c>
      <c r="E1658" s="4">
        <f>158.28*(1-Z1%)</f>
        <v>158.28</v>
      </c>
      <c r="F1658" s="2">
        <v>1</v>
      </c>
      <c r="G1658" s="2"/>
    </row>
    <row r="1659" spans="1:26" customHeight="1" ht="18" hidden="true" outlineLevel="4">
      <c r="A1659" s="2" t="s">
        <v>3124</v>
      </c>
      <c r="B1659" s="3" t="s">
        <v>3125</v>
      </c>
      <c r="C1659" s="2"/>
      <c r="D1659" s="2" t="s">
        <v>16</v>
      </c>
      <c r="E1659" s="4">
        <f>158.28*(1-Z1%)</f>
        <v>158.28</v>
      </c>
      <c r="F1659" s="2">
        <v>8</v>
      </c>
      <c r="G1659" s="2"/>
    </row>
    <row r="1660" spans="1:26" customHeight="1" ht="18" hidden="true" outlineLevel="4">
      <c r="A1660" s="2" t="s">
        <v>3126</v>
      </c>
      <c r="B1660" s="3" t="s">
        <v>3127</v>
      </c>
      <c r="C1660" s="2"/>
      <c r="D1660" s="2" t="s">
        <v>16</v>
      </c>
      <c r="E1660" s="4">
        <f>187.52*(1-Z1%)</f>
        <v>187.52</v>
      </c>
      <c r="F1660" s="2">
        <v>6</v>
      </c>
      <c r="G1660" s="2"/>
    </row>
    <row r="1661" spans="1:26" customHeight="1" ht="18" hidden="true" outlineLevel="4">
      <c r="A1661" s="2" t="s">
        <v>3128</v>
      </c>
      <c r="B1661" s="3" t="s">
        <v>3129</v>
      </c>
      <c r="C1661" s="2"/>
      <c r="D1661" s="2" t="s">
        <v>16</v>
      </c>
      <c r="E1661" s="4">
        <f>187.52*(1-Z1%)</f>
        <v>187.52</v>
      </c>
      <c r="F1661" s="2">
        <v>1</v>
      </c>
      <c r="G1661" s="2"/>
    </row>
    <row r="1662" spans="1:26" customHeight="1" ht="18" hidden="true" outlineLevel="4">
      <c r="A1662" s="2" t="s">
        <v>3130</v>
      </c>
      <c r="B1662" s="3" t="s">
        <v>3131</v>
      </c>
      <c r="C1662" s="2"/>
      <c r="D1662" s="2" t="s">
        <v>16</v>
      </c>
      <c r="E1662" s="4">
        <f>242.86*(1-Z1%)</f>
        <v>242.86</v>
      </c>
      <c r="F1662" s="2">
        <v>2</v>
      </c>
      <c r="G1662" s="2"/>
    </row>
    <row r="1663" spans="1:26" customHeight="1" ht="36" hidden="true" outlineLevel="4">
      <c r="A1663" s="2" t="s">
        <v>3132</v>
      </c>
      <c r="B1663" s="3" t="s">
        <v>3133</v>
      </c>
      <c r="C1663" s="2"/>
      <c r="D1663" s="2" t="s">
        <v>16</v>
      </c>
      <c r="E1663" s="4">
        <f>213.38*(1-Z1%)</f>
        <v>213.38</v>
      </c>
      <c r="F1663" s="2">
        <v>15</v>
      </c>
      <c r="G1663" s="2"/>
    </row>
    <row r="1664" spans="1:26" customHeight="1" ht="36" hidden="true" outlineLevel="4">
      <c r="A1664" s="2" t="s">
        <v>3134</v>
      </c>
      <c r="B1664" s="3" t="s">
        <v>3135</v>
      </c>
      <c r="C1664" s="2"/>
      <c r="D1664" s="2" t="s">
        <v>16</v>
      </c>
      <c r="E1664" s="4">
        <f>213.38*(1-Z1%)</f>
        <v>213.38</v>
      </c>
      <c r="F1664" s="2">
        <v>10</v>
      </c>
      <c r="G1664" s="2"/>
    </row>
    <row r="1665" spans="1:26" customHeight="1" ht="18" hidden="true" outlineLevel="4">
      <c r="A1665" s="2" t="s">
        <v>3136</v>
      </c>
      <c r="B1665" s="3" t="s">
        <v>3137</v>
      </c>
      <c r="C1665" s="2"/>
      <c r="D1665" s="2" t="s">
        <v>16</v>
      </c>
      <c r="E1665" s="4">
        <f>220.97*(1-Z1%)</f>
        <v>220.97</v>
      </c>
      <c r="F1665" s="2">
        <v>9</v>
      </c>
      <c r="G1665" s="2"/>
    </row>
    <row r="1666" spans="1:26" customHeight="1" ht="36" hidden="true" outlineLevel="4">
      <c r="A1666" s="2" t="s">
        <v>3138</v>
      </c>
      <c r="B1666" s="3" t="s">
        <v>3139</v>
      </c>
      <c r="C1666" s="2"/>
      <c r="D1666" s="2" t="s">
        <v>16</v>
      </c>
      <c r="E1666" s="4">
        <f>208.69*(1-Z1%)</f>
        <v>208.69</v>
      </c>
      <c r="F1666" s="2">
        <v>18</v>
      </c>
      <c r="G1666" s="2"/>
    </row>
    <row r="1667" spans="1:26" customHeight="1" ht="36" hidden="true" outlineLevel="4">
      <c r="A1667" s="2" t="s">
        <v>3140</v>
      </c>
      <c r="B1667" s="3" t="s">
        <v>3141</v>
      </c>
      <c r="C1667" s="2"/>
      <c r="D1667" s="2" t="s">
        <v>16</v>
      </c>
      <c r="E1667" s="4">
        <f>208.69*(1-Z1%)</f>
        <v>208.69</v>
      </c>
      <c r="F1667" s="2">
        <v>9</v>
      </c>
      <c r="G1667" s="2"/>
    </row>
    <row r="1668" spans="1:26" customHeight="1" ht="36" hidden="true" outlineLevel="4">
      <c r="A1668" s="2" t="s">
        <v>3142</v>
      </c>
      <c r="B1668" s="3" t="s">
        <v>3143</v>
      </c>
      <c r="C1668" s="2"/>
      <c r="D1668" s="2" t="s">
        <v>16</v>
      </c>
      <c r="E1668" s="4">
        <f>322.87*(1-Z1%)</f>
        <v>322.87</v>
      </c>
      <c r="F1668" s="2">
        <v>2</v>
      </c>
      <c r="G1668" s="2"/>
    </row>
    <row r="1669" spans="1:26" customHeight="1" ht="18" hidden="true" outlineLevel="4">
      <c r="A1669" s="2" t="s">
        <v>3144</v>
      </c>
      <c r="B1669" s="3" t="s">
        <v>3145</v>
      </c>
      <c r="C1669" s="2"/>
      <c r="D1669" s="2" t="s">
        <v>16</v>
      </c>
      <c r="E1669" s="4">
        <f>138.43*(1-Z1%)</f>
        <v>138.43</v>
      </c>
      <c r="F1669" s="2">
        <v>1</v>
      </c>
      <c r="G1669" s="2"/>
    </row>
    <row r="1670" spans="1:26" customHeight="1" ht="35" hidden="true" outlineLevel="4">
      <c r="A1670" s="5" t="s">
        <v>3146</v>
      </c>
      <c r="B1670" s="5"/>
      <c r="C1670" s="5"/>
      <c r="D1670" s="5"/>
      <c r="E1670" s="5"/>
      <c r="F1670" s="5"/>
      <c r="G1670" s="5"/>
    </row>
    <row r="1671" spans="1:26" customHeight="1" ht="36" hidden="true" outlineLevel="4">
      <c r="A1671" s="2" t="s">
        <v>3147</v>
      </c>
      <c r="B1671" s="3" t="s">
        <v>3148</v>
      </c>
      <c r="C1671" s="2"/>
      <c r="D1671" s="2" t="s">
        <v>16</v>
      </c>
      <c r="E1671" s="4">
        <f>345.49*(1-Z1%)</f>
        <v>345.49</v>
      </c>
      <c r="F1671" s="2">
        <v>2</v>
      </c>
      <c r="G1671" s="2"/>
    </row>
    <row r="1672" spans="1:26" customHeight="1" ht="18" hidden="true" outlineLevel="4">
      <c r="A1672" s="2" t="s">
        <v>3149</v>
      </c>
      <c r="B1672" s="3" t="s">
        <v>3150</v>
      </c>
      <c r="C1672" s="2"/>
      <c r="D1672" s="2" t="s">
        <v>16</v>
      </c>
      <c r="E1672" s="4">
        <f>176.90*(1-Z1%)</f>
        <v>176.9</v>
      </c>
      <c r="F1672" s="2">
        <v>5</v>
      </c>
      <c r="G1672" s="2"/>
    </row>
    <row r="1673" spans="1:26" customHeight="1" ht="18" hidden="true" outlineLevel="4">
      <c r="A1673" s="2" t="s">
        <v>3151</v>
      </c>
      <c r="B1673" s="3" t="s">
        <v>3152</v>
      </c>
      <c r="C1673" s="2"/>
      <c r="D1673" s="2" t="s">
        <v>16</v>
      </c>
      <c r="E1673" s="4">
        <f>176.90*(1-Z1%)</f>
        <v>176.9</v>
      </c>
      <c r="F1673" s="2">
        <v>6</v>
      </c>
      <c r="G1673" s="2"/>
    </row>
    <row r="1674" spans="1:26" customHeight="1" ht="18" hidden="true" outlineLevel="4">
      <c r="A1674" s="2" t="s">
        <v>3153</v>
      </c>
      <c r="B1674" s="3" t="s">
        <v>3154</v>
      </c>
      <c r="C1674" s="2"/>
      <c r="D1674" s="2" t="s">
        <v>16</v>
      </c>
      <c r="E1674" s="4">
        <f>187.14*(1-Z1%)</f>
        <v>187.14</v>
      </c>
      <c r="F1674" s="2">
        <v>2</v>
      </c>
      <c r="G1674" s="2"/>
    </row>
    <row r="1675" spans="1:26" customHeight="1" ht="18" hidden="true" outlineLevel="4">
      <c r="A1675" s="2" t="s">
        <v>3155</v>
      </c>
      <c r="B1675" s="3" t="s">
        <v>3156</v>
      </c>
      <c r="C1675" s="2"/>
      <c r="D1675" s="2" t="s">
        <v>16</v>
      </c>
      <c r="E1675" s="4">
        <f>186.45*(1-Z1%)</f>
        <v>186.45</v>
      </c>
      <c r="F1675" s="2">
        <v>2</v>
      </c>
      <c r="G1675" s="2"/>
    </row>
    <row r="1676" spans="1:26" customHeight="1" ht="18" hidden="true" outlineLevel="4">
      <c r="A1676" s="2" t="s">
        <v>3157</v>
      </c>
      <c r="B1676" s="3" t="s">
        <v>3158</v>
      </c>
      <c r="C1676" s="2"/>
      <c r="D1676" s="2" t="s">
        <v>16</v>
      </c>
      <c r="E1676" s="4">
        <f>146.13*(1-Z1%)</f>
        <v>146.13</v>
      </c>
      <c r="F1676" s="2">
        <v>8</v>
      </c>
      <c r="G1676" s="2"/>
    </row>
    <row r="1677" spans="1:26" customHeight="1" ht="18" hidden="true" outlineLevel="4">
      <c r="A1677" s="2" t="s">
        <v>3159</v>
      </c>
      <c r="B1677" s="3" t="s">
        <v>3160</v>
      </c>
      <c r="C1677" s="2"/>
      <c r="D1677" s="2" t="s">
        <v>16</v>
      </c>
      <c r="E1677" s="4">
        <f>139.22*(1-Z1%)</f>
        <v>139.22</v>
      </c>
      <c r="F1677" s="2">
        <v>50</v>
      </c>
      <c r="G1677" s="2"/>
    </row>
    <row r="1678" spans="1:26" customHeight="1" ht="18" hidden="true" outlineLevel="4">
      <c r="A1678" s="2" t="s">
        <v>3161</v>
      </c>
      <c r="B1678" s="3" t="s">
        <v>3162</v>
      </c>
      <c r="C1678" s="2"/>
      <c r="D1678" s="2" t="s">
        <v>16</v>
      </c>
      <c r="E1678" s="4">
        <f>387.81*(1-Z1%)</f>
        <v>387.81</v>
      </c>
      <c r="F1678" s="2">
        <v>3</v>
      </c>
      <c r="G1678" s="2"/>
    </row>
    <row r="1679" spans="1:26" customHeight="1" ht="18" hidden="true" outlineLevel="4">
      <c r="A1679" s="2" t="s">
        <v>3163</v>
      </c>
      <c r="B1679" s="3" t="s">
        <v>3164</v>
      </c>
      <c r="C1679" s="2"/>
      <c r="D1679" s="2" t="s">
        <v>16</v>
      </c>
      <c r="E1679" s="4">
        <f>150.78*(1-Z1%)</f>
        <v>150.78</v>
      </c>
      <c r="F1679" s="2">
        <v>7</v>
      </c>
      <c r="G1679" s="2"/>
    </row>
    <row r="1680" spans="1:26" customHeight="1" ht="18" hidden="true" outlineLevel="4">
      <c r="A1680" s="2" t="s">
        <v>3165</v>
      </c>
      <c r="B1680" s="3" t="s">
        <v>3166</v>
      </c>
      <c r="C1680" s="2"/>
      <c r="D1680" s="2" t="s">
        <v>16</v>
      </c>
      <c r="E1680" s="4">
        <f>151.43*(1-Z1%)</f>
        <v>151.43</v>
      </c>
      <c r="F1680" s="2">
        <v>10</v>
      </c>
      <c r="G1680" s="2"/>
    </row>
    <row r="1681" spans="1:26" customHeight="1" ht="18" hidden="true" outlineLevel="4">
      <c r="A1681" s="2" t="s">
        <v>3167</v>
      </c>
      <c r="B1681" s="3" t="s">
        <v>3168</v>
      </c>
      <c r="C1681" s="2"/>
      <c r="D1681" s="2" t="s">
        <v>16</v>
      </c>
      <c r="E1681" s="4">
        <f>168.04*(1-Z1%)</f>
        <v>168.04</v>
      </c>
      <c r="F1681" s="2">
        <v>33</v>
      </c>
      <c r="G1681" s="2"/>
    </row>
    <row r="1682" spans="1:26" customHeight="1" ht="18" hidden="true" outlineLevel="4">
      <c r="A1682" s="2" t="s">
        <v>3169</v>
      </c>
      <c r="B1682" s="3" t="s">
        <v>3170</v>
      </c>
      <c r="C1682" s="2"/>
      <c r="D1682" s="2" t="s">
        <v>16</v>
      </c>
      <c r="E1682" s="4">
        <f>150.78*(1-Z1%)</f>
        <v>150.78</v>
      </c>
      <c r="F1682" s="2">
        <v>11</v>
      </c>
      <c r="G1682" s="2"/>
    </row>
    <row r="1683" spans="1:26" customHeight="1" ht="18" hidden="true" outlineLevel="4">
      <c r="A1683" s="2" t="s">
        <v>3171</v>
      </c>
      <c r="B1683" s="3" t="s">
        <v>3172</v>
      </c>
      <c r="C1683" s="2"/>
      <c r="D1683" s="2" t="s">
        <v>16</v>
      </c>
      <c r="E1683" s="4">
        <f>162.95*(1-Z1%)</f>
        <v>162.95</v>
      </c>
      <c r="F1683" s="2">
        <v>6</v>
      </c>
      <c r="G1683" s="2"/>
    </row>
    <row r="1684" spans="1:26" customHeight="1" ht="18" hidden="true" outlineLevel="4">
      <c r="A1684" s="2" t="s">
        <v>3173</v>
      </c>
      <c r="B1684" s="3" t="s">
        <v>3174</v>
      </c>
      <c r="C1684" s="2"/>
      <c r="D1684" s="2" t="s">
        <v>16</v>
      </c>
      <c r="E1684" s="4">
        <f>152.29*(1-Z1%)</f>
        <v>152.29</v>
      </c>
      <c r="F1684" s="2">
        <v>5</v>
      </c>
      <c r="G1684" s="2"/>
    </row>
    <row r="1685" spans="1:26" customHeight="1" ht="18" hidden="true" outlineLevel="4">
      <c r="A1685" s="2" t="s">
        <v>3175</v>
      </c>
      <c r="B1685" s="3" t="s">
        <v>3176</v>
      </c>
      <c r="C1685" s="2"/>
      <c r="D1685" s="2" t="s">
        <v>16</v>
      </c>
      <c r="E1685" s="4">
        <f>140.42*(1-Z1%)</f>
        <v>140.42</v>
      </c>
      <c r="F1685" s="2">
        <v>16</v>
      </c>
      <c r="G1685" s="2"/>
    </row>
    <row r="1686" spans="1:26" customHeight="1" ht="18" hidden="true" outlineLevel="4">
      <c r="A1686" s="2" t="s">
        <v>3177</v>
      </c>
      <c r="B1686" s="3" t="s">
        <v>3178</v>
      </c>
      <c r="C1686" s="2"/>
      <c r="D1686" s="2" t="s">
        <v>16</v>
      </c>
      <c r="E1686" s="4">
        <f>140.42*(1-Z1%)</f>
        <v>140.42</v>
      </c>
      <c r="F1686" s="2">
        <v>13</v>
      </c>
      <c r="G1686" s="2"/>
    </row>
    <row r="1687" spans="1:26" customHeight="1" ht="18" hidden="true" outlineLevel="4">
      <c r="A1687" s="2" t="s">
        <v>3179</v>
      </c>
      <c r="B1687" s="3" t="s">
        <v>3180</v>
      </c>
      <c r="C1687" s="2"/>
      <c r="D1687" s="2" t="s">
        <v>16</v>
      </c>
      <c r="E1687" s="4">
        <f>149.69*(1-Z1%)</f>
        <v>149.69</v>
      </c>
      <c r="F1687" s="2">
        <v>20</v>
      </c>
      <c r="G1687" s="2"/>
    </row>
    <row r="1688" spans="1:26" customHeight="1" ht="18" hidden="true" outlineLevel="4">
      <c r="A1688" s="2" t="s">
        <v>3181</v>
      </c>
      <c r="B1688" s="3" t="s">
        <v>3182</v>
      </c>
      <c r="C1688" s="2"/>
      <c r="D1688" s="2" t="s">
        <v>16</v>
      </c>
      <c r="E1688" s="4">
        <f>375.02*(1-Z1%)</f>
        <v>375.02</v>
      </c>
      <c r="F1688" s="2">
        <v>1</v>
      </c>
      <c r="G1688" s="2"/>
    </row>
    <row r="1689" spans="1:26" customHeight="1" ht="18" hidden="true" outlineLevel="4">
      <c r="A1689" s="2" t="s">
        <v>3183</v>
      </c>
      <c r="B1689" s="3" t="s">
        <v>3184</v>
      </c>
      <c r="C1689" s="2"/>
      <c r="D1689" s="2" t="s">
        <v>16</v>
      </c>
      <c r="E1689" s="4">
        <f>152.60*(1-Z1%)</f>
        <v>152.6</v>
      </c>
      <c r="F1689" s="2">
        <v>18</v>
      </c>
      <c r="G1689" s="2"/>
    </row>
    <row r="1690" spans="1:26" customHeight="1" ht="18" hidden="true" outlineLevel="4">
      <c r="A1690" s="2" t="s">
        <v>3185</v>
      </c>
      <c r="B1690" s="3" t="s">
        <v>3186</v>
      </c>
      <c r="C1690" s="2"/>
      <c r="D1690" s="2" t="s">
        <v>16</v>
      </c>
      <c r="E1690" s="4">
        <f>169.98*(1-Z1%)</f>
        <v>169.98</v>
      </c>
      <c r="F1690" s="2">
        <v>26</v>
      </c>
      <c r="G1690" s="2"/>
    </row>
    <row r="1691" spans="1:26" customHeight="1" ht="36" hidden="true" outlineLevel="4">
      <c r="A1691" s="2" t="s">
        <v>3187</v>
      </c>
      <c r="B1691" s="3" t="s">
        <v>3188</v>
      </c>
      <c r="C1691" s="2"/>
      <c r="D1691" s="2" t="s">
        <v>16</v>
      </c>
      <c r="E1691" s="4">
        <f>156.48*(1-Z1%)</f>
        <v>156.48</v>
      </c>
      <c r="F1691" s="2">
        <v>28</v>
      </c>
      <c r="G1691" s="2"/>
    </row>
    <row r="1692" spans="1:26" customHeight="1" ht="18" hidden="true" outlineLevel="4">
      <c r="A1692" s="2" t="s">
        <v>3189</v>
      </c>
      <c r="B1692" s="3" t="s">
        <v>3190</v>
      </c>
      <c r="C1692" s="2"/>
      <c r="D1692" s="2" t="s">
        <v>16</v>
      </c>
      <c r="E1692" s="4">
        <f>128.91*(1-Z1%)</f>
        <v>128.91</v>
      </c>
      <c r="F1692" s="2">
        <v>3</v>
      </c>
      <c r="G1692" s="2"/>
    </row>
    <row r="1693" spans="1:26" customHeight="1" ht="18" hidden="true" outlineLevel="4">
      <c r="A1693" s="2" t="s">
        <v>3191</v>
      </c>
      <c r="B1693" s="3" t="s">
        <v>3192</v>
      </c>
      <c r="C1693" s="2"/>
      <c r="D1693" s="2" t="s">
        <v>16</v>
      </c>
      <c r="E1693" s="4">
        <f>323.44*(1-Z1%)</f>
        <v>323.44</v>
      </c>
      <c r="F1693" s="2">
        <v>1</v>
      </c>
      <c r="G1693" s="2"/>
    </row>
    <row r="1694" spans="1:26" customHeight="1" ht="35" hidden="true" outlineLevel="4">
      <c r="A1694" s="5" t="s">
        <v>3193</v>
      </c>
      <c r="B1694" s="5"/>
      <c r="C1694" s="5"/>
      <c r="D1694" s="5"/>
      <c r="E1694" s="5"/>
      <c r="F1694" s="5"/>
      <c r="G1694" s="5"/>
    </row>
    <row r="1695" spans="1:26" customHeight="1" ht="18" hidden="true" outlineLevel="4">
      <c r="A1695" s="2" t="s">
        <v>3194</v>
      </c>
      <c r="B1695" s="3" t="s">
        <v>3195</v>
      </c>
      <c r="C1695" s="2"/>
      <c r="D1695" s="2" t="s">
        <v>16</v>
      </c>
      <c r="E1695" s="4">
        <f>74.39*(1-Z1%)</f>
        <v>74.39</v>
      </c>
      <c r="F1695" s="2">
        <v>73</v>
      </c>
      <c r="G1695" s="2"/>
    </row>
    <row r="1696" spans="1:26" customHeight="1" ht="18" hidden="true" outlineLevel="4">
      <c r="A1696" s="2" t="s">
        <v>3196</v>
      </c>
      <c r="B1696" s="3" t="s">
        <v>3197</v>
      </c>
      <c r="C1696" s="2"/>
      <c r="D1696" s="2" t="s">
        <v>16</v>
      </c>
      <c r="E1696" s="4">
        <f>86.36*(1-Z1%)</f>
        <v>86.36</v>
      </c>
      <c r="F1696" s="2">
        <v>16</v>
      </c>
      <c r="G1696" s="2"/>
    </row>
    <row r="1697" spans="1:26" customHeight="1" ht="35" hidden="true" outlineLevel="2">
      <c r="A1697" s="5" t="s">
        <v>3198</v>
      </c>
      <c r="B1697" s="5"/>
      <c r="C1697" s="5"/>
      <c r="D1697" s="5"/>
      <c r="E1697" s="5"/>
      <c r="F1697" s="5"/>
      <c r="G1697" s="5"/>
    </row>
    <row r="1698" spans="1:26" customHeight="1" ht="35" hidden="true" outlineLevel="3">
      <c r="A1698" s="5" t="s">
        <v>3199</v>
      </c>
      <c r="B1698" s="5"/>
      <c r="C1698" s="5"/>
      <c r="D1698" s="5"/>
      <c r="E1698" s="5"/>
      <c r="F1698" s="5"/>
      <c r="G1698" s="5"/>
    </row>
    <row r="1699" spans="1:26" customHeight="1" ht="36" hidden="true" outlineLevel="3">
      <c r="A1699" s="2" t="s">
        <v>3200</v>
      </c>
      <c r="B1699" s="3" t="s">
        <v>3201</v>
      </c>
      <c r="C1699" s="2"/>
      <c r="D1699" s="2" t="s">
        <v>16</v>
      </c>
      <c r="E1699" s="4">
        <f>117.99*(1-Z1%)</f>
        <v>117.99</v>
      </c>
      <c r="F1699" s="2">
        <v>1</v>
      </c>
      <c r="G1699" s="2"/>
    </row>
    <row r="1700" spans="1:26" customHeight="1" ht="36" hidden="true" outlineLevel="3">
      <c r="A1700" s="2" t="s">
        <v>3202</v>
      </c>
      <c r="B1700" s="3" t="s">
        <v>3203</v>
      </c>
      <c r="C1700" s="2"/>
      <c r="D1700" s="2" t="s">
        <v>16</v>
      </c>
      <c r="E1700" s="4">
        <f>125.69*(1-Z1%)</f>
        <v>125.69</v>
      </c>
      <c r="F1700" s="2">
        <v>2</v>
      </c>
      <c r="G1700" s="2"/>
    </row>
    <row r="1701" spans="1:26" customHeight="1" ht="18" hidden="true" outlineLevel="3">
      <c r="A1701" s="2" t="s">
        <v>3204</v>
      </c>
      <c r="B1701" s="3" t="s">
        <v>3205</v>
      </c>
      <c r="C1701" s="2"/>
      <c r="D1701" s="2" t="s">
        <v>16</v>
      </c>
      <c r="E1701" s="4">
        <f>97.47*(1-Z1%)</f>
        <v>97.47</v>
      </c>
      <c r="F1701" s="2">
        <v>3</v>
      </c>
      <c r="G1701" s="2"/>
    </row>
    <row r="1702" spans="1:26" customHeight="1" ht="36" hidden="true" outlineLevel="3">
      <c r="A1702" s="2" t="s">
        <v>3206</v>
      </c>
      <c r="B1702" s="3" t="s">
        <v>3207</v>
      </c>
      <c r="C1702" s="2"/>
      <c r="D1702" s="2" t="s">
        <v>16</v>
      </c>
      <c r="E1702" s="4">
        <f>97.47*(1-Z1%)</f>
        <v>97.47</v>
      </c>
      <c r="F1702" s="2">
        <v>2</v>
      </c>
      <c r="G1702" s="2"/>
    </row>
    <row r="1703" spans="1:26" customHeight="1" ht="36" hidden="true" outlineLevel="3">
      <c r="A1703" s="2" t="s">
        <v>3208</v>
      </c>
      <c r="B1703" s="3" t="s">
        <v>3209</v>
      </c>
      <c r="C1703" s="2"/>
      <c r="D1703" s="2" t="s">
        <v>16</v>
      </c>
      <c r="E1703" s="4">
        <f>117.14*(1-Z1%)</f>
        <v>117.14</v>
      </c>
      <c r="F1703" s="2">
        <v>1</v>
      </c>
      <c r="G1703" s="2"/>
    </row>
    <row r="1704" spans="1:26" customHeight="1" ht="18" hidden="true" outlineLevel="3">
      <c r="A1704" s="2" t="s">
        <v>3210</v>
      </c>
      <c r="B1704" s="3" t="s">
        <v>3211</v>
      </c>
      <c r="C1704" s="2"/>
      <c r="D1704" s="2" t="s">
        <v>16</v>
      </c>
      <c r="E1704" s="4">
        <f>177.89*(1-Z1%)</f>
        <v>177.89</v>
      </c>
      <c r="F1704" s="2">
        <v>3</v>
      </c>
      <c r="G1704" s="2"/>
    </row>
    <row r="1705" spans="1:26" customHeight="1" ht="18" hidden="true" outlineLevel="3">
      <c r="A1705" s="2" t="s">
        <v>3212</v>
      </c>
      <c r="B1705" s="3" t="s">
        <v>3213</v>
      </c>
      <c r="C1705" s="2"/>
      <c r="D1705" s="2" t="s">
        <v>16</v>
      </c>
      <c r="E1705" s="4">
        <f>69.26*(1-Z1%)</f>
        <v>69.26</v>
      </c>
      <c r="F1705" s="2">
        <v>2</v>
      </c>
      <c r="G1705" s="2"/>
    </row>
    <row r="1706" spans="1:26" customHeight="1" ht="18" hidden="true" outlineLevel="3">
      <c r="A1706" s="2" t="s">
        <v>3214</v>
      </c>
      <c r="B1706" s="3" t="s">
        <v>3215</v>
      </c>
      <c r="C1706" s="2"/>
      <c r="D1706" s="2" t="s">
        <v>16</v>
      </c>
      <c r="E1706" s="4">
        <f>69.26*(1-Z1%)</f>
        <v>69.26</v>
      </c>
      <c r="F1706" s="2">
        <v>1</v>
      </c>
      <c r="G1706" s="2"/>
    </row>
    <row r="1707" spans="1:26" customHeight="1" ht="18" hidden="true" outlineLevel="3">
      <c r="A1707" s="2" t="s">
        <v>3216</v>
      </c>
      <c r="B1707" s="3" t="s">
        <v>3217</v>
      </c>
      <c r="C1707" s="2"/>
      <c r="D1707" s="2" t="s">
        <v>16</v>
      </c>
      <c r="E1707" s="4">
        <f>14.41*(1-Z1%)</f>
        <v>14.41</v>
      </c>
      <c r="F1707" s="2">
        <v>7</v>
      </c>
      <c r="G1707" s="2"/>
    </row>
    <row r="1708" spans="1:26" customHeight="1" ht="18" hidden="true" outlineLevel="3">
      <c r="A1708" s="2" t="s">
        <v>3218</v>
      </c>
      <c r="B1708" s="3" t="s">
        <v>3219</v>
      </c>
      <c r="C1708" s="2"/>
      <c r="D1708" s="2" t="s">
        <v>16</v>
      </c>
      <c r="E1708" s="4">
        <f>14.41*(1-Z1%)</f>
        <v>14.41</v>
      </c>
      <c r="F1708" s="2">
        <v>3</v>
      </c>
      <c r="G1708" s="2"/>
    </row>
    <row r="1709" spans="1:26" customHeight="1" ht="18" hidden="true" outlineLevel="3">
      <c r="A1709" s="2" t="s">
        <v>3220</v>
      </c>
      <c r="B1709" s="3" t="s">
        <v>3221</v>
      </c>
      <c r="C1709" s="2"/>
      <c r="D1709" s="2" t="s">
        <v>16</v>
      </c>
      <c r="E1709" s="4">
        <f>14.81*(1-Z1%)</f>
        <v>14.81</v>
      </c>
      <c r="F1709" s="2">
        <v>10</v>
      </c>
      <c r="G1709" s="2"/>
    </row>
    <row r="1710" spans="1:26" customHeight="1" ht="35" hidden="true" outlineLevel="3">
      <c r="A1710" s="5" t="s">
        <v>3222</v>
      </c>
      <c r="B1710" s="5"/>
      <c r="C1710" s="5"/>
      <c r="D1710" s="5"/>
      <c r="E1710" s="5"/>
      <c r="F1710" s="5"/>
      <c r="G1710" s="5"/>
    </row>
    <row r="1711" spans="1:26" customHeight="1" ht="36" hidden="true" outlineLevel="3">
      <c r="A1711" s="2" t="s">
        <v>3223</v>
      </c>
      <c r="B1711" s="3" t="s">
        <v>3224</v>
      </c>
      <c r="C1711" s="2"/>
      <c r="D1711" s="2" t="s">
        <v>16</v>
      </c>
      <c r="E1711" s="4">
        <f>121.28*(1-Z1%)</f>
        <v>121.28</v>
      </c>
      <c r="F1711" s="2">
        <v>2</v>
      </c>
      <c r="G1711" s="2"/>
    </row>
    <row r="1712" spans="1:26" customHeight="1" ht="35" hidden="true" outlineLevel="3">
      <c r="A1712" s="5" t="s">
        <v>3225</v>
      </c>
      <c r="B1712" s="5"/>
      <c r="C1712" s="5"/>
      <c r="D1712" s="5"/>
      <c r="E1712" s="5"/>
      <c r="F1712" s="5"/>
      <c r="G1712" s="5"/>
    </row>
    <row r="1713" spans="1:26" customHeight="1" ht="18" hidden="true" outlineLevel="3">
      <c r="A1713" s="2" t="s">
        <v>3226</v>
      </c>
      <c r="B1713" s="3" t="s">
        <v>3227</v>
      </c>
      <c r="C1713" s="2"/>
      <c r="D1713" s="2" t="s">
        <v>16</v>
      </c>
      <c r="E1713" s="4">
        <f>22.95*(1-Z1%)</f>
        <v>22.95</v>
      </c>
      <c r="F1713" s="2">
        <v>2</v>
      </c>
      <c r="G1713" s="2"/>
    </row>
    <row r="1714" spans="1:26" customHeight="1" ht="18" hidden="true" outlineLevel="3">
      <c r="A1714" s="2" t="s">
        <v>3228</v>
      </c>
      <c r="B1714" s="3" t="s">
        <v>3229</v>
      </c>
      <c r="C1714" s="2"/>
      <c r="D1714" s="2" t="s">
        <v>16</v>
      </c>
      <c r="E1714" s="4">
        <f>79.45*(1-Z1%)</f>
        <v>79.45</v>
      </c>
      <c r="F1714" s="2">
        <v>1</v>
      </c>
      <c r="G1714" s="2"/>
    </row>
    <row r="1715" spans="1:26" customHeight="1" ht="18" hidden="true" outlineLevel="3">
      <c r="A1715" s="2" t="s">
        <v>3230</v>
      </c>
      <c r="B1715" s="3" t="s">
        <v>3231</v>
      </c>
      <c r="C1715" s="2"/>
      <c r="D1715" s="2" t="s">
        <v>16</v>
      </c>
      <c r="E1715" s="4">
        <f>79.07*(1-Z1%)</f>
        <v>79.07</v>
      </c>
      <c r="F1715" s="2">
        <v>1</v>
      </c>
      <c r="G1715" s="2"/>
    </row>
    <row r="1716" spans="1:26" customHeight="1" ht="35" hidden="true" outlineLevel="2">
      <c r="A1716" s="5" t="s">
        <v>3232</v>
      </c>
      <c r="B1716" s="5"/>
      <c r="C1716" s="5"/>
      <c r="D1716" s="5"/>
      <c r="E1716" s="5"/>
      <c r="F1716" s="5"/>
      <c r="G1716" s="5"/>
    </row>
    <row r="1717" spans="1:26" customHeight="1" ht="18" hidden="true" outlineLevel="2">
      <c r="A1717" s="2" t="s">
        <v>3233</v>
      </c>
      <c r="B1717" s="3" t="s">
        <v>3234</v>
      </c>
      <c r="C1717" s="2"/>
      <c r="D1717" s="2" t="s">
        <v>16</v>
      </c>
      <c r="E1717" s="4">
        <f>19.40*(1-Z1%)</f>
        <v>19.4</v>
      </c>
      <c r="F1717" s="2">
        <v>45</v>
      </c>
      <c r="G1717" s="2"/>
    </row>
    <row r="1718" spans="1:26" customHeight="1" ht="35" hidden="true" outlineLevel="2">
      <c r="A1718" s="5" t="s">
        <v>3235</v>
      </c>
      <c r="B1718" s="5"/>
      <c r="C1718" s="5"/>
      <c r="D1718" s="5"/>
      <c r="E1718" s="5"/>
      <c r="F1718" s="5"/>
      <c r="G1718" s="5"/>
    </row>
    <row r="1719" spans="1:26" customHeight="1" ht="18" hidden="true" outlineLevel="2">
      <c r="A1719" s="2" t="s">
        <v>3236</v>
      </c>
      <c r="B1719" s="3" t="s">
        <v>3237</v>
      </c>
      <c r="C1719" s="2"/>
      <c r="D1719" s="2" t="s">
        <v>16</v>
      </c>
      <c r="E1719" s="4">
        <f>104.68*(1-Z1%)</f>
        <v>104.68</v>
      </c>
      <c r="F1719" s="2">
        <v>25</v>
      </c>
      <c r="G1719" s="2"/>
    </row>
    <row r="1720" spans="1:26" customHeight="1" ht="18" hidden="true" outlineLevel="2">
      <c r="A1720" s="2" t="s">
        <v>3238</v>
      </c>
      <c r="B1720" s="3" t="s">
        <v>3239</v>
      </c>
      <c r="C1720" s="2"/>
      <c r="D1720" s="2" t="s">
        <v>16</v>
      </c>
      <c r="E1720" s="4">
        <f>340.69*(1-Z1%)</f>
        <v>340.69</v>
      </c>
      <c r="F1720" s="2">
        <v>2</v>
      </c>
      <c r="G1720" s="2"/>
    </row>
    <row r="1721" spans="1:26" customHeight="1" ht="18" hidden="true" outlineLevel="2">
      <c r="A1721" s="2" t="s">
        <v>3240</v>
      </c>
      <c r="B1721" s="3" t="s">
        <v>3241</v>
      </c>
      <c r="C1721" s="2"/>
      <c r="D1721" s="2" t="s">
        <v>16</v>
      </c>
      <c r="E1721" s="4">
        <f>200.46*(1-Z1%)</f>
        <v>200.46</v>
      </c>
      <c r="F1721" s="2">
        <v>3</v>
      </c>
      <c r="G1721" s="2"/>
    </row>
    <row r="1722" spans="1:26" customHeight="1" ht="18" hidden="true" outlineLevel="2">
      <c r="A1722" s="2" t="s">
        <v>3242</v>
      </c>
      <c r="B1722" s="3" t="s">
        <v>3243</v>
      </c>
      <c r="C1722" s="2"/>
      <c r="D1722" s="2" t="s">
        <v>16</v>
      </c>
      <c r="E1722" s="4">
        <f>228.05*(1-Z1%)</f>
        <v>228.05</v>
      </c>
      <c r="F1722" s="2">
        <v>1</v>
      </c>
      <c r="G1722" s="2"/>
    </row>
    <row r="1723" spans="1:26" customHeight="1" ht="18" hidden="true" outlineLevel="2">
      <c r="A1723" s="2" t="s">
        <v>3244</v>
      </c>
      <c r="B1723" s="3" t="s">
        <v>3245</v>
      </c>
      <c r="C1723" s="2"/>
      <c r="D1723" s="2" t="s">
        <v>16</v>
      </c>
      <c r="E1723" s="4">
        <f>106.02*(1-Z1%)</f>
        <v>106.02</v>
      </c>
      <c r="F1723" s="2">
        <v>3</v>
      </c>
      <c r="G1723" s="2"/>
    </row>
    <row r="1724" spans="1:26" customHeight="1" ht="18" hidden="true" outlineLevel="2">
      <c r="A1724" s="2" t="s">
        <v>3246</v>
      </c>
      <c r="B1724" s="3" t="s">
        <v>3247</v>
      </c>
      <c r="C1724" s="2"/>
      <c r="D1724" s="2" t="s">
        <v>16</v>
      </c>
      <c r="E1724" s="4">
        <f>273.29*(1-Z1%)</f>
        <v>273.29</v>
      </c>
      <c r="F1724" s="2">
        <v>5</v>
      </c>
      <c r="G1724" s="2"/>
    </row>
    <row r="1725" spans="1:26" customHeight="1" ht="18" hidden="true" outlineLevel="2">
      <c r="A1725" s="2" t="s">
        <v>3248</v>
      </c>
      <c r="B1725" s="3" t="s">
        <v>3249</v>
      </c>
      <c r="C1725" s="2"/>
      <c r="D1725" s="2" t="s">
        <v>16</v>
      </c>
      <c r="E1725" s="4">
        <f>273.29*(1-Z1%)</f>
        <v>273.29</v>
      </c>
      <c r="F1725" s="2">
        <v>4</v>
      </c>
      <c r="G1725" s="2"/>
    </row>
    <row r="1726" spans="1:26" customHeight="1" ht="18" hidden="true" outlineLevel="2">
      <c r="A1726" s="2" t="s">
        <v>3250</v>
      </c>
      <c r="B1726" s="3" t="s">
        <v>3251</v>
      </c>
      <c r="C1726" s="2"/>
      <c r="D1726" s="2" t="s">
        <v>16</v>
      </c>
      <c r="E1726" s="4">
        <f>276.31*(1-Z1%)</f>
        <v>276.31</v>
      </c>
      <c r="F1726" s="2">
        <v>2</v>
      </c>
      <c r="G1726" s="2"/>
    </row>
    <row r="1727" spans="1:26" customHeight="1" ht="18" hidden="true" outlineLevel="2">
      <c r="A1727" s="2" t="s">
        <v>3252</v>
      </c>
      <c r="B1727" s="3" t="s">
        <v>3253</v>
      </c>
      <c r="C1727" s="2"/>
      <c r="D1727" s="2" t="s">
        <v>16</v>
      </c>
      <c r="E1727" s="4">
        <f>38.82*(1-Z1%)</f>
        <v>38.82</v>
      </c>
      <c r="F1727" s="2">
        <v>5</v>
      </c>
      <c r="G1727" s="2"/>
    </row>
    <row r="1728" spans="1:26" customHeight="1" ht="35" hidden="true" outlineLevel="2">
      <c r="A1728" s="5" t="s">
        <v>3254</v>
      </c>
      <c r="B1728" s="5"/>
      <c r="C1728" s="5"/>
      <c r="D1728" s="5"/>
      <c r="E1728" s="5"/>
      <c r="F1728" s="5"/>
      <c r="G1728" s="5"/>
    </row>
    <row r="1729" spans="1:26" customHeight="1" ht="18" hidden="true" outlineLevel="2">
      <c r="A1729" s="2" t="s">
        <v>3255</v>
      </c>
      <c r="B1729" s="3" t="s">
        <v>3256</v>
      </c>
      <c r="C1729" s="2"/>
      <c r="D1729" s="2" t="s">
        <v>16</v>
      </c>
      <c r="E1729" s="4">
        <f>27.54*(1-Z1%)</f>
        <v>27.54</v>
      </c>
      <c r="F1729" s="2">
        <v>7</v>
      </c>
      <c r="G1729" s="2"/>
    </row>
    <row r="1730" spans="1:26" customHeight="1" ht="18" hidden="true" outlineLevel="2">
      <c r="A1730" s="2" t="s">
        <v>3257</v>
      </c>
      <c r="B1730" s="3" t="s">
        <v>3258</v>
      </c>
      <c r="C1730" s="2"/>
      <c r="D1730" s="2" t="s">
        <v>16</v>
      </c>
      <c r="E1730" s="4">
        <f>27.54*(1-Z1%)</f>
        <v>27.54</v>
      </c>
      <c r="F1730" s="2">
        <v>1</v>
      </c>
      <c r="G1730" s="2"/>
    </row>
    <row r="1731" spans="1:26" customHeight="1" ht="18" hidden="true" outlineLevel="2">
      <c r="A1731" s="2" t="s">
        <v>3259</v>
      </c>
      <c r="B1731" s="3" t="s">
        <v>3260</v>
      </c>
      <c r="C1731" s="2"/>
      <c r="D1731" s="2" t="s">
        <v>16</v>
      </c>
      <c r="E1731" s="4">
        <f>2.43*(1-Z1%)</f>
        <v>2.43</v>
      </c>
      <c r="F1731" s="2">
        <v>3</v>
      </c>
      <c r="G1731" s="2"/>
    </row>
    <row r="1732" spans="1:26" customHeight="1" ht="35" hidden="true" outlineLevel="2">
      <c r="A1732" s="5" t="s">
        <v>3261</v>
      </c>
      <c r="B1732" s="5"/>
      <c r="C1732" s="5"/>
      <c r="D1732" s="5"/>
      <c r="E1732" s="5"/>
      <c r="F1732" s="5"/>
      <c r="G1732" s="5"/>
    </row>
    <row r="1733" spans="1:26" customHeight="1" ht="35" hidden="true" outlineLevel="3">
      <c r="A1733" s="5" t="s">
        <v>3262</v>
      </c>
      <c r="B1733" s="5"/>
      <c r="C1733" s="5"/>
      <c r="D1733" s="5"/>
      <c r="E1733" s="5"/>
      <c r="F1733" s="5"/>
      <c r="G1733" s="5"/>
    </row>
    <row r="1734" spans="1:26" customHeight="1" ht="18" hidden="true" outlineLevel="3">
      <c r="A1734" s="2" t="s">
        <v>3263</v>
      </c>
      <c r="B1734" s="3" t="s">
        <v>3264</v>
      </c>
      <c r="C1734" s="2"/>
      <c r="D1734" s="2" t="s">
        <v>16</v>
      </c>
      <c r="E1734" s="4">
        <f>2199.38*(1-Z1%)</f>
        <v>2199.38</v>
      </c>
      <c r="F1734" s="2">
        <v>1</v>
      </c>
      <c r="G1734" s="2"/>
    </row>
    <row r="1735" spans="1:26" customHeight="1" ht="18" hidden="true" outlineLevel="3">
      <c r="A1735" s="2" t="s">
        <v>3265</v>
      </c>
      <c r="B1735" s="3" t="s">
        <v>3266</v>
      </c>
      <c r="C1735" s="2"/>
      <c r="D1735" s="2" t="s">
        <v>16</v>
      </c>
      <c r="E1735" s="4">
        <f>2716.88*(1-Z1%)</f>
        <v>2716.88</v>
      </c>
      <c r="F1735" s="2">
        <v>1</v>
      </c>
      <c r="G1735" s="2"/>
    </row>
    <row r="1736" spans="1:26" customHeight="1" ht="35" hidden="true" outlineLevel="3">
      <c r="A1736" s="5" t="s">
        <v>3267</v>
      </c>
      <c r="B1736" s="5"/>
      <c r="C1736" s="5"/>
      <c r="D1736" s="5"/>
      <c r="E1736" s="5"/>
      <c r="F1736" s="5"/>
      <c r="G1736" s="5"/>
    </row>
    <row r="1737" spans="1:26" customHeight="1" ht="18" hidden="true" outlineLevel="3">
      <c r="A1737" s="2" t="s">
        <v>3268</v>
      </c>
      <c r="B1737" s="3" t="s">
        <v>3269</v>
      </c>
      <c r="C1737" s="2"/>
      <c r="D1737" s="2" t="s">
        <v>16</v>
      </c>
      <c r="E1737" s="4">
        <f>246.89*(1-Z1%)</f>
        <v>246.89</v>
      </c>
      <c r="F1737" s="2">
        <v>10</v>
      </c>
      <c r="G1737" s="2"/>
    </row>
    <row r="1738" spans="1:26" customHeight="1" ht="18" hidden="true" outlineLevel="3">
      <c r="A1738" s="2" t="s">
        <v>3270</v>
      </c>
      <c r="B1738" s="3" t="s">
        <v>3271</v>
      </c>
      <c r="C1738" s="2"/>
      <c r="D1738" s="2" t="s">
        <v>16</v>
      </c>
      <c r="E1738" s="4">
        <f>465.55*(1-Z1%)</f>
        <v>465.55</v>
      </c>
      <c r="F1738" s="2">
        <v>2</v>
      </c>
      <c r="G1738" s="2"/>
    </row>
    <row r="1739" spans="1:26" customHeight="1" ht="35" hidden="true" outlineLevel="3">
      <c r="A1739" s="5" t="s">
        <v>3272</v>
      </c>
      <c r="B1739" s="5"/>
      <c r="C1739" s="5"/>
      <c r="D1739" s="5"/>
      <c r="E1739" s="5"/>
      <c r="F1739" s="5"/>
      <c r="G1739" s="5"/>
    </row>
    <row r="1740" spans="1:26" customHeight="1" ht="18" hidden="true" outlineLevel="3">
      <c r="A1740" s="2" t="s">
        <v>3273</v>
      </c>
      <c r="B1740" s="3" t="s">
        <v>3274</v>
      </c>
      <c r="C1740" s="2"/>
      <c r="D1740" s="2" t="s">
        <v>16</v>
      </c>
      <c r="E1740" s="4">
        <f>68.19*(1-Z1%)</f>
        <v>68.19</v>
      </c>
      <c r="F1740" s="2">
        <v>2</v>
      </c>
      <c r="G1740" s="2"/>
    </row>
    <row r="1741" spans="1:26" customHeight="1" ht="18" hidden="true" outlineLevel="3">
      <c r="A1741" s="2" t="s">
        <v>3275</v>
      </c>
      <c r="B1741" s="3" t="s">
        <v>3276</v>
      </c>
      <c r="C1741" s="2"/>
      <c r="D1741" s="2" t="s">
        <v>16</v>
      </c>
      <c r="E1741" s="4">
        <f>35.06*(1-Z1%)</f>
        <v>35.06</v>
      </c>
      <c r="F1741" s="2">
        <v>11</v>
      </c>
      <c r="G1741" s="2"/>
    </row>
    <row r="1742" spans="1:26" customHeight="1" ht="36" hidden="true" outlineLevel="3">
      <c r="A1742" s="2" t="s">
        <v>3277</v>
      </c>
      <c r="B1742" s="3" t="s">
        <v>3278</v>
      </c>
      <c r="C1742" s="2"/>
      <c r="D1742" s="2" t="s">
        <v>16</v>
      </c>
      <c r="E1742" s="4">
        <f>100.04*(1-Z1%)</f>
        <v>100.04</v>
      </c>
      <c r="F1742" s="2">
        <v>6</v>
      </c>
      <c r="G1742" s="2"/>
    </row>
    <row r="1743" spans="1:26" customHeight="1" ht="18" hidden="true" outlineLevel="3">
      <c r="A1743" s="2" t="s">
        <v>3279</v>
      </c>
      <c r="B1743" s="3" t="s">
        <v>3280</v>
      </c>
      <c r="C1743" s="2"/>
      <c r="D1743" s="2" t="s">
        <v>16</v>
      </c>
      <c r="E1743" s="4">
        <f>323.44*(1-Z1%)</f>
        <v>323.44</v>
      </c>
      <c r="F1743" s="2">
        <v>2</v>
      </c>
      <c r="G1743" s="2"/>
    </row>
    <row r="1744" spans="1:26" customHeight="1" ht="18" hidden="true" outlineLevel="3">
      <c r="A1744" s="2" t="s">
        <v>3281</v>
      </c>
      <c r="B1744" s="3" t="s">
        <v>3282</v>
      </c>
      <c r="C1744" s="2"/>
      <c r="D1744" s="2" t="s">
        <v>16</v>
      </c>
      <c r="E1744" s="4">
        <f>323.44*(1-Z1%)</f>
        <v>323.44</v>
      </c>
      <c r="F1744" s="2">
        <v>11</v>
      </c>
      <c r="G1744" s="2"/>
    </row>
    <row r="1745" spans="1:26" customHeight="1" ht="36" hidden="true" outlineLevel="3">
      <c r="A1745" s="2" t="s">
        <v>3283</v>
      </c>
      <c r="B1745" s="3" t="s">
        <v>3284</v>
      </c>
      <c r="C1745" s="2"/>
      <c r="D1745" s="2" t="s">
        <v>16</v>
      </c>
      <c r="E1745" s="4">
        <f>323.44*(1-Z1%)</f>
        <v>323.44</v>
      </c>
      <c r="F1745" s="2">
        <v>3</v>
      </c>
      <c r="G1745" s="2"/>
    </row>
    <row r="1746" spans="1:26" customHeight="1" ht="18" hidden="true" outlineLevel="3">
      <c r="A1746" s="2" t="s">
        <v>3285</v>
      </c>
      <c r="B1746" s="3" t="s">
        <v>3286</v>
      </c>
      <c r="C1746" s="2"/>
      <c r="D1746" s="2" t="s">
        <v>16</v>
      </c>
      <c r="E1746" s="4">
        <f>63.27*(1-Z1%)</f>
        <v>63.27</v>
      </c>
      <c r="F1746" s="2">
        <v>5</v>
      </c>
      <c r="G1746" s="2"/>
    </row>
    <row r="1747" spans="1:26" customHeight="1" ht="18" hidden="true" outlineLevel="3">
      <c r="A1747" s="2" t="s">
        <v>3287</v>
      </c>
      <c r="B1747" s="3" t="s">
        <v>3288</v>
      </c>
      <c r="C1747" s="2"/>
      <c r="D1747" s="2" t="s">
        <v>16</v>
      </c>
      <c r="E1747" s="4">
        <f>94.91*(1-Z1%)</f>
        <v>94.91</v>
      </c>
      <c r="F1747" s="2">
        <v>12</v>
      </c>
      <c r="G1747" s="2"/>
    </row>
    <row r="1748" spans="1:26" customHeight="1" ht="18" hidden="true" outlineLevel="3">
      <c r="A1748" s="2" t="s">
        <v>3289</v>
      </c>
      <c r="B1748" s="3" t="s">
        <v>3290</v>
      </c>
      <c r="C1748" s="2"/>
      <c r="D1748" s="2" t="s">
        <v>16</v>
      </c>
      <c r="E1748" s="4">
        <f>65.84*(1-Z1%)</f>
        <v>65.84</v>
      </c>
      <c r="F1748" s="2">
        <v>12</v>
      </c>
      <c r="G1748" s="2"/>
    </row>
    <row r="1749" spans="1:26" customHeight="1" ht="35" hidden="true" outlineLevel="2">
      <c r="A1749" s="5" t="s">
        <v>3291</v>
      </c>
      <c r="B1749" s="5"/>
      <c r="C1749" s="5"/>
      <c r="D1749" s="5"/>
      <c r="E1749" s="5"/>
      <c r="F1749" s="5"/>
      <c r="G1749" s="5"/>
    </row>
    <row r="1750" spans="1:26" customHeight="1" ht="35" hidden="true" outlineLevel="3">
      <c r="A1750" s="5" t="s">
        <v>3292</v>
      </c>
      <c r="B1750" s="5"/>
      <c r="C1750" s="5"/>
      <c r="D1750" s="5"/>
      <c r="E1750" s="5"/>
      <c r="F1750" s="5"/>
      <c r="G1750" s="5"/>
    </row>
    <row r="1751" spans="1:26" customHeight="1" ht="18" hidden="true" outlineLevel="3">
      <c r="A1751" s="2" t="s">
        <v>3293</v>
      </c>
      <c r="B1751" s="3" t="s">
        <v>3294</v>
      </c>
      <c r="C1751" s="2"/>
      <c r="D1751" s="2" t="s">
        <v>16</v>
      </c>
      <c r="E1751" s="4">
        <f>113.63*(1-Z1%)</f>
        <v>113.63</v>
      </c>
      <c r="F1751" s="2">
        <v>3</v>
      </c>
      <c r="G1751" s="2"/>
    </row>
    <row r="1752" spans="1:26" customHeight="1" ht="18" hidden="true" outlineLevel="3">
      <c r="A1752" s="2" t="s">
        <v>3295</v>
      </c>
      <c r="B1752" s="3" t="s">
        <v>3296</v>
      </c>
      <c r="C1752" s="2"/>
      <c r="D1752" s="2" t="s">
        <v>16</v>
      </c>
      <c r="E1752" s="4">
        <f>113.63*(1-Z1%)</f>
        <v>113.63</v>
      </c>
      <c r="F1752" s="2">
        <v>4</v>
      </c>
      <c r="G1752" s="2"/>
    </row>
    <row r="1753" spans="1:26" customHeight="1" ht="18" hidden="true" outlineLevel="3">
      <c r="A1753" s="2" t="s">
        <v>3297</v>
      </c>
      <c r="B1753" s="3" t="s">
        <v>3298</v>
      </c>
      <c r="C1753" s="2"/>
      <c r="D1753" s="2" t="s">
        <v>16</v>
      </c>
      <c r="E1753" s="4">
        <f>113.63*(1-Z1%)</f>
        <v>113.63</v>
      </c>
      <c r="F1753" s="2">
        <v>3</v>
      </c>
      <c r="G1753" s="2"/>
    </row>
    <row r="1754" spans="1:26" customHeight="1" ht="18" hidden="true" outlineLevel="3">
      <c r="A1754" s="2" t="s">
        <v>3299</v>
      </c>
      <c r="B1754" s="3" t="s">
        <v>3300</v>
      </c>
      <c r="C1754" s="2"/>
      <c r="D1754" s="2" t="s">
        <v>16</v>
      </c>
      <c r="E1754" s="4">
        <f>113.63*(1-Z1%)</f>
        <v>113.63</v>
      </c>
      <c r="F1754" s="2">
        <v>3</v>
      </c>
      <c r="G1754" s="2"/>
    </row>
    <row r="1755" spans="1:26" customHeight="1" ht="18" hidden="true" outlineLevel="3">
      <c r="A1755" s="2" t="s">
        <v>3301</v>
      </c>
      <c r="B1755" s="3" t="s">
        <v>3302</v>
      </c>
      <c r="C1755" s="2"/>
      <c r="D1755" s="2" t="s">
        <v>16</v>
      </c>
      <c r="E1755" s="4">
        <f>113.63*(1-Z1%)</f>
        <v>113.63</v>
      </c>
      <c r="F1755" s="2">
        <v>3</v>
      </c>
      <c r="G1755" s="2"/>
    </row>
    <row r="1756" spans="1:26" customHeight="1" ht="18" hidden="true" outlineLevel="3">
      <c r="A1756" s="2" t="s">
        <v>3303</v>
      </c>
      <c r="B1756" s="3" t="s">
        <v>3304</v>
      </c>
      <c r="C1756" s="2"/>
      <c r="D1756" s="2" t="s">
        <v>16</v>
      </c>
      <c r="E1756" s="4">
        <f>113.63*(1-Z1%)</f>
        <v>113.63</v>
      </c>
      <c r="F1756" s="2">
        <v>2</v>
      </c>
      <c r="G1756" s="2"/>
    </row>
    <row r="1757" spans="1:26" customHeight="1" ht="18" hidden="true" outlineLevel="3">
      <c r="A1757" s="2" t="s">
        <v>3305</v>
      </c>
      <c r="B1757" s="3" t="s">
        <v>3306</v>
      </c>
      <c r="C1757" s="2"/>
      <c r="D1757" s="2" t="s">
        <v>16</v>
      </c>
      <c r="E1757" s="4">
        <f>17.72*(1-Z1%)</f>
        <v>17.72</v>
      </c>
      <c r="F1757" s="2">
        <v>2</v>
      </c>
      <c r="G1757" s="2"/>
    </row>
    <row r="1758" spans="1:26" customHeight="1" ht="18" hidden="true" outlineLevel="3">
      <c r="A1758" s="2" t="s">
        <v>3307</v>
      </c>
      <c r="B1758" s="3" t="s">
        <v>3308</v>
      </c>
      <c r="C1758" s="2"/>
      <c r="D1758" s="2" t="s">
        <v>16</v>
      </c>
      <c r="E1758" s="4">
        <f>17.72*(1-Z1%)</f>
        <v>17.72</v>
      </c>
      <c r="F1758" s="2">
        <v>2</v>
      </c>
      <c r="G1758" s="2"/>
    </row>
    <row r="1759" spans="1:26" customHeight="1" ht="18" hidden="true" outlineLevel="3">
      <c r="A1759" s="2" t="s">
        <v>3309</v>
      </c>
      <c r="B1759" s="3" t="s">
        <v>3310</v>
      </c>
      <c r="C1759" s="2"/>
      <c r="D1759" s="2" t="s">
        <v>16</v>
      </c>
      <c r="E1759" s="4">
        <f>54.34*(1-Z1%)</f>
        <v>54.34</v>
      </c>
      <c r="F1759" s="2">
        <v>1</v>
      </c>
      <c r="G1759" s="2"/>
    </row>
    <row r="1760" spans="1:26" customHeight="1" ht="18" hidden="true" outlineLevel="3">
      <c r="A1760" s="2" t="s">
        <v>3311</v>
      </c>
      <c r="B1760" s="3" t="s">
        <v>3312</v>
      </c>
      <c r="C1760" s="2"/>
      <c r="D1760" s="2" t="s">
        <v>16</v>
      </c>
      <c r="E1760" s="4">
        <f>56.46*(1-Z1%)</f>
        <v>56.46</v>
      </c>
      <c r="F1760" s="2">
        <v>2</v>
      </c>
      <c r="G1760" s="2"/>
    </row>
    <row r="1761" spans="1:26" customHeight="1" ht="36" hidden="true" outlineLevel="3">
      <c r="A1761" s="2" t="s">
        <v>3313</v>
      </c>
      <c r="B1761" s="3" t="s">
        <v>3314</v>
      </c>
      <c r="C1761" s="2"/>
      <c r="D1761" s="2" t="s">
        <v>16</v>
      </c>
      <c r="E1761" s="4">
        <f>51.76*(1-Z1%)</f>
        <v>51.76</v>
      </c>
      <c r="F1761" s="2">
        <v>1</v>
      </c>
      <c r="G1761" s="2"/>
    </row>
    <row r="1762" spans="1:26" customHeight="1" ht="36" hidden="true" outlineLevel="3">
      <c r="A1762" s="2" t="s">
        <v>3315</v>
      </c>
      <c r="B1762" s="3" t="s">
        <v>3316</v>
      </c>
      <c r="C1762" s="2"/>
      <c r="D1762" s="2" t="s">
        <v>16</v>
      </c>
      <c r="E1762" s="4">
        <f>183.09*(1-Z1%)</f>
        <v>183.09</v>
      </c>
      <c r="F1762" s="2">
        <v>1</v>
      </c>
      <c r="G1762" s="2"/>
    </row>
    <row r="1763" spans="1:26" customHeight="1" ht="35" hidden="true" outlineLevel="3">
      <c r="A1763" s="5" t="s">
        <v>3317</v>
      </c>
      <c r="B1763" s="5"/>
      <c r="C1763" s="5"/>
      <c r="D1763" s="5"/>
      <c r="E1763" s="5"/>
      <c r="F1763" s="5"/>
      <c r="G1763" s="5"/>
    </row>
    <row r="1764" spans="1:26" customHeight="1" ht="36" hidden="true" outlineLevel="3">
      <c r="A1764" s="2" t="s">
        <v>3318</v>
      </c>
      <c r="B1764" s="3" t="s">
        <v>3319</v>
      </c>
      <c r="C1764" s="2"/>
      <c r="D1764" s="2" t="s">
        <v>16</v>
      </c>
      <c r="E1764" s="4">
        <f>80.19*(1-Z1%)</f>
        <v>80.19</v>
      </c>
      <c r="F1764" s="2">
        <v>1</v>
      </c>
      <c r="G1764" s="2"/>
    </row>
    <row r="1765" spans="1:26" customHeight="1" ht="36" hidden="true" outlineLevel="3">
      <c r="A1765" s="2" t="s">
        <v>3320</v>
      </c>
      <c r="B1765" s="3" t="s">
        <v>3321</v>
      </c>
      <c r="C1765" s="2"/>
      <c r="D1765" s="2" t="s">
        <v>16</v>
      </c>
      <c r="E1765" s="4">
        <f>147.70*(1-Z1%)</f>
        <v>147.7</v>
      </c>
      <c r="F1765" s="2">
        <v>3</v>
      </c>
      <c r="G1765" s="2"/>
    </row>
    <row r="1766" spans="1:26" customHeight="1" ht="36" hidden="true" outlineLevel="3">
      <c r="A1766" s="2" t="s">
        <v>3322</v>
      </c>
      <c r="B1766" s="3" t="s">
        <v>3323</v>
      </c>
      <c r="C1766" s="2"/>
      <c r="D1766" s="2" t="s">
        <v>16</v>
      </c>
      <c r="E1766" s="4">
        <f>147.70*(1-Z1%)</f>
        <v>147.7</v>
      </c>
      <c r="F1766" s="2">
        <v>1</v>
      </c>
      <c r="G1766" s="2"/>
    </row>
    <row r="1767" spans="1:26" customHeight="1" ht="18" hidden="true" outlineLevel="3">
      <c r="A1767" s="2" t="s">
        <v>3324</v>
      </c>
      <c r="B1767" s="3" t="s">
        <v>3325</v>
      </c>
      <c r="C1767" s="2"/>
      <c r="D1767" s="2" t="s">
        <v>16</v>
      </c>
      <c r="E1767" s="4">
        <f>74.53*(1-Z1%)</f>
        <v>74.53</v>
      </c>
      <c r="F1767" s="2">
        <v>1</v>
      </c>
      <c r="G1767" s="2"/>
    </row>
    <row r="1768" spans="1:26" customHeight="1" ht="18" hidden="true" outlineLevel="3">
      <c r="A1768" s="2" t="s">
        <v>3326</v>
      </c>
      <c r="B1768" s="3" t="s">
        <v>3327</v>
      </c>
      <c r="C1768" s="2"/>
      <c r="D1768" s="2" t="s">
        <v>16</v>
      </c>
      <c r="E1768" s="4">
        <f>87.98*(1-Z1%)</f>
        <v>87.98</v>
      </c>
      <c r="F1768" s="2">
        <v>4</v>
      </c>
      <c r="G1768" s="2"/>
    </row>
    <row r="1769" spans="1:26" customHeight="1" ht="18" hidden="true" outlineLevel="3">
      <c r="A1769" s="2" t="s">
        <v>3328</v>
      </c>
      <c r="B1769" s="3" t="s">
        <v>3329</v>
      </c>
      <c r="C1769" s="2"/>
      <c r="D1769" s="2" t="s">
        <v>16</v>
      </c>
      <c r="E1769" s="4">
        <f>87.98*(1-Z1%)</f>
        <v>87.98</v>
      </c>
      <c r="F1769" s="2">
        <v>3</v>
      </c>
      <c r="G1769" s="2"/>
    </row>
    <row r="1770" spans="1:26" customHeight="1" ht="18" hidden="true" outlineLevel="3">
      <c r="A1770" s="2" t="s">
        <v>3330</v>
      </c>
      <c r="B1770" s="3" t="s">
        <v>3331</v>
      </c>
      <c r="C1770" s="2"/>
      <c r="D1770" s="2" t="s">
        <v>16</v>
      </c>
      <c r="E1770" s="4">
        <f>87.98*(1-Z1%)</f>
        <v>87.98</v>
      </c>
      <c r="F1770" s="2">
        <v>1</v>
      </c>
      <c r="G1770" s="2"/>
    </row>
    <row r="1771" spans="1:26" customHeight="1" ht="36" hidden="true" outlineLevel="3">
      <c r="A1771" s="2" t="s">
        <v>3332</v>
      </c>
      <c r="B1771" s="3" t="s">
        <v>3333</v>
      </c>
      <c r="C1771" s="2"/>
      <c r="D1771" s="2" t="s">
        <v>16</v>
      </c>
      <c r="E1771" s="4">
        <f>92.09*(1-Z1%)</f>
        <v>92.09</v>
      </c>
      <c r="F1771" s="2">
        <v>3</v>
      </c>
      <c r="G1771" s="2"/>
    </row>
    <row r="1772" spans="1:26" customHeight="1" ht="18" hidden="true" outlineLevel="3">
      <c r="A1772" s="2" t="s">
        <v>3334</v>
      </c>
      <c r="B1772" s="3" t="s">
        <v>3335</v>
      </c>
      <c r="C1772" s="2"/>
      <c r="D1772" s="2" t="s">
        <v>16</v>
      </c>
      <c r="E1772" s="4">
        <f>19.40*(1-Z1%)</f>
        <v>19.4</v>
      </c>
      <c r="F1772" s="2">
        <v>19</v>
      </c>
      <c r="G1772" s="2"/>
    </row>
    <row r="1773" spans="1:26" customHeight="1" ht="18" hidden="true" outlineLevel="3">
      <c r="A1773" s="2" t="s">
        <v>3336</v>
      </c>
      <c r="B1773" s="3" t="s">
        <v>3337</v>
      </c>
      <c r="C1773" s="2"/>
      <c r="D1773" s="2" t="s">
        <v>16</v>
      </c>
      <c r="E1773" s="4">
        <f>19.40*(1-Z1%)</f>
        <v>19.4</v>
      </c>
      <c r="F1773" s="2">
        <v>1</v>
      </c>
      <c r="G1773" s="2"/>
    </row>
    <row r="1774" spans="1:26" customHeight="1" ht="18" hidden="true" outlineLevel="3">
      <c r="A1774" s="2" t="s">
        <v>3338</v>
      </c>
      <c r="B1774" s="3" t="s">
        <v>3339</v>
      </c>
      <c r="C1774" s="2"/>
      <c r="D1774" s="2" t="s">
        <v>16</v>
      </c>
      <c r="E1774" s="4">
        <f>307.80*(1-Z1%)</f>
        <v>307.8</v>
      </c>
      <c r="F1774" s="2">
        <v>1</v>
      </c>
      <c r="G1774" s="2"/>
    </row>
    <row r="1775" spans="1:26" customHeight="1" ht="18" hidden="true" outlineLevel="3">
      <c r="A1775" s="2" t="s">
        <v>3340</v>
      </c>
      <c r="B1775" s="3" t="s">
        <v>3341</v>
      </c>
      <c r="C1775" s="2"/>
      <c r="D1775" s="2" t="s">
        <v>16</v>
      </c>
      <c r="E1775" s="4">
        <f>18.57*(1-Z1%)</f>
        <v>18.57</v>
      </c>
      <c r="F1775" s="2">
        <v>2</v>
      </c>
      <c r="G1775" s="2"/>
    </row>
    <row r="1776" spans="1:26" customHeight="1" ht="18" hidden="true" outlineLevel="3">
      <c r="A1776" s="2" t="s">
        <v>3342</v>
      </c>
      <c r="B1776" s="3" t="s">
        <v>3343</v>
      </c>
      <c r="C1776" s="2"/>
      <c r="D1776" s="2" t="s">
        <v>16</v>
      </c>
      <c r="E1776" s="4">
        <f>55.69*(1-Z1%)</f>
        <v>55.69</v>
      </c>
      <c r="F1776" s="2">
        <v>1</v>
      </c>
      <c r="G1776" s="2"/>
    </row>
    <row r="1777" spans="1:26" customHeight="1" ht="18" hidden="true" outlineLevel="3">
      <c r="A1777" s="2" t="s">
        <v>3344</v>
      </c>
      <c r="B1777" s="3" t="s">
        <v>3345</v>
      </c>
      <c r="C1777" s="2"/>
      <c r="D1777" s="2" t="s">
        <v>16</v>
      </c>
      <c r="E1777" s="4">
        <f>55.69*(1-Z1%)</f>
        <v>55.69</v>
      </c>
      <c r="F1777" s="2">
        <v>1</v>
      </c>
      <c r="G1777" s="2"/>
    </row>
    <row r="1778" spans="1:26" customHeight="1" ht="18" hidden="true" outlineLevel="3">
      <c r="A1778" s="2" t="s">
        <v>3346</v>
      </c>
      <c r="B1778" s="3" t="s">
        <v>3347</v>
      </c>
      <c r="C1778" s="2"/>
      <c r="D1778" s="2" t="s">
        <v>16</v>
      </c>
      <c r="E1778" s="4">
        <f>19.40*(1-Z1%)</f>
        <v>19.4</v>
      </c>
      <c r="F1778" s="2">
        <v>10</v>
      </c>
      <c r="G1778" s="2"/>
    </row>
    <row r="1779" spans="1:26" customHeight="1" ht="18" hidden="true" outlineLevel="3">
      <c r="A1779" s="2" t="s">
        <v>3348</v>
      </c>
      <c r="B1779" s="3" t="s">
        <v>3349</v>
      </c>
      <c r="C1779" s="2"/>
      <c r="D1779" s="2" t="s">
        <v>16</v>
      </c>
      <c r="E1779" s="4">
        <f>19.40*(1-Z1%)</f>
        <v>19.4</v>
      </c>
      <c r="F1779" s="2">
        <v>10</v>
      </c>
      <c r="G1779" s="2"/>
    </row>
    <row r="1780" spans="1:26" customHeight="1" ht="36" hidden="true" outlineLevel="3">
      <c r="A1780" s="2" t="s">
        <v>3350</v>
      </c>
      <c r="B1780" s="3" t="s">
        <v>3351</v>
      </c>
      <c r="C1780" s="2"/>
      <c r="D1780" s="2" t="s">
        <v>16</v>
      </c>
      <c r="E1780" s="4">
        <f>51.49*(1-Z1%)</f>
        <v>51.49</v>
      </c>
      <c r="F1780" s="2">
        <v>6</v>
      </c>
      <c r="G1780" s="2"/>
    </row>
    <row r="1781" spans="1:26" customHeight="1" ht="36" hidden="true" outlineLevel="3">
      <c r="A1781" s="2" t="s">
        <v>3352</v>
      </c>
      <c r="B1781" s="3" t="s">
        <v>3353</v>
      </c>
      <c r="C1781" s="2"/>
      <c r="D1781" s="2" t="s">
        <v>16</v>
      </c>
      <c r="E1781" s="4">
        <f>79.95*(1-Z1%)</f>
        <v>79.95</v>
      </c>
      <c r="F1781" s="2">
        <v>1</v>
      </c>
      <c r="G1781" s="2"/>
    </row>
    <row r="1782" spans="1:26" customHeight="1" ht="36" hidden="true" outlineLevel="3">
      <c r="A1782" s="2" t="s">
        <v>3354</v>
      </c>
      <c r="B1782" s="3" t="s">
        <v>3355</v>
      </c>
      <c r="C1782" s="2"/>
      <c r="D1782" s="2" t="s">
        <v>16</v>
      </c>
      <c r="E1782" s="4">
        <f>18.57*(1-Z1%)</f>
        <v>18.57</v>
      </c>
      <c r="F1782" s="2">
        <v>27</v>
      </c>
      <c r="G1782" s="2"/>
    </row>
    <row r="1783" spans="1:26" customHeight="1" ht="36" hidden="true" outlineLevel="3">
      <c r="A1783" s="2" t="s">
        <v>3356</v>
      </c>
      <c r="B1783" s="3" t="s">
        <v>3357</v>
      </c>
      <c r="C1783" s="2"/>
      <c r="D1783" s="2" t="s">
        <v>16</v>
      </c>
      <c r="E1783" s="4">
        <f>35.89*(1-Z1%)</f>
        <v>35.89</v>
      </c>
      <c r="F1783" s="2">
        <v>6</v>
      </c>
      <c r="G1783" s="2"/>
    </row>
    <row r="1784" spans="1:26" customHeight="1" ht="36" hidden="true" outlineLevel="3">
      <c r="A1784" s="2" t="s">
        <v>3358</v>
      </c>
      <c r="B1784" s="3" t="s">
        <v>3359</v>
      </c>
      <c r="C1784" s="2"/>
      <c r="D1784" s="2" t="s">
        <v>16</v>
      </c>
      <c r="E1784" s="4">
        <f>55.69*(1-Z1%)</f>
        <v>55.69</v>
      </c>
      <c r="F1784" s="2">
        <v>1</v>
      </c>
      <c r="G1784" s="2"/>
    </row>
    <row r="1785" spans="1:26" customHeight="1" ht="18" hidden="true" outlineLevel="3">
      <c r="A1785" s="2" t="s">
        <v>3360</v>
      </c>
      <c r="B1785" s="3" t="s">
        <v>3361</v>
      </c>
      <c r="C1785" s="2"/>
      <c r="D1785" s="2" t="s">
        <v>16</v>
      </c>
      <c r="E1785" s="4">
        <f>37.52*(1-Z1%)</f>
        <v>37.52</v>
      </c>
      <c r="F1785" s="2">
        <v>11</v>
      </c>
      <c r="G1785" s="2"/>
    </row>
    <row r="1786" spans="1:26" customHeight="1" ht="36" hidden="true" outlineLevel="3">
      <c r="A1786" s="2" t="s">
        <v>3362</v>
      </c>
      <c r="B1786" s="3" t="s">
        <v>3363</v>
      </c>
      <c r="C1786" s="2"/>
      <c r="D1786" s="2" t="s">
        <v>16</v>
      </c>
      <c r="E1786" s="4">
        <f>55.69*(1-Z1%)</f>
        <v>55.69</v>
      </c>
      <c r="F1786" s="2">
        <v>3</v>
      </c>
      <c r="G1786" s="2"/>
    </row>
    <row r="1787" spans="1:26" customHeight="1" ht="36" hidden="true" outlineLevel="3">
      <c r="A1787" s="2" t="s">
        <v>3364</v>
      </c>
      <c r="B1787" s="3" t="s">
        <v>3365</v>
      </c>
      <c r="C1787" s="2"/>
      <c r="D1787" s="2" t="s">
        <v>16</v>
      </c>
      <c r="E1787" s="4">
        <f>79.95*(1-Z1%)</f>
        <v>79.95</v>
      </c>
      <c r="F1787" s="2">
        <v>5</v>
      </c>
      <c r="G1787" s="2"/>
    </row>
    <row r="1788" spans="1:26" customHeight="1" ht="36" hidden="true" outlineLevel="3">
      <c r="A1788" s="2" t="s">
        <v>3366</v>
      </c>
      <c r="B1788" s="3" t="s">
        <v>3367</v>
      </c>
      <c r="C1788" s="2"/>
      <c r="D1788" s="2" t="s">
        <v>16</v>
      </c>
      <c r="E1788" s="4">
        <f>37.52*(1-Z1%)</f>
        <v>37.52</v>
      </c>
      <c r="F1788" s="2">
        <v>6</v>
      </c>
      <c r="G1788" s="2"/>
    </row>
    <row r="1789" spans="1:26" customHeight="1" ht="36" hidden="true" outlineLevel="3">
      <c r="A1789" s="2" t="s">
        <v>3368</v>
      </c>
      <c r="B1789" s="3" t="s">
        <v>3369</v>
      </c>
      <c r="C1789" s="2"/>
      <c r="D1789" s="2" t="s">
        <v>16</v>
      </c>
      <c r="E1789" s="4">
        <f>42.69*(1-Z1%)</f>
        <v>42.69</v>
      </c>
      <c r="F1789" s="2">
        <v>3</v>
      </c>
      <c r="G1789" s="2"/>
    </row>
    <row r="1790" spans="1:26" customHeight="1" ht="36" hidden="true" outlineLevel="3">
      <c r="A1790" s="2" t="s">
        <v>3370</v>
      </c>
      <c r="B1790" s="3" t="s">
        <v>3371</v>
      </c>
      <c r="C1790" s="2"/>
      <c r="D1790" s="2" t="s">
        <v>16</v>
      </c>
      <c r="E1790" s="4">
        <f>51.49*(1-Z1%)</f>
        <v>51.49</v>
      </c>
      <c r="F1790" s="2">
        <v>2</v>
      </c>
      <c r="G1790" s="2"/>
    </row>
    <row r="1791" spans="1:26" customHeight="1" ht="36" hidden="true" outlineLevel="3">
      <c r="A1791" s="2" t="s">
        <v>3372</v>
      </c>
      <c r="B1791" s="3" t="s">
        <v>3373</v>
      </c>
      <c r="C1791" s="2"/>
      <c r="D1791" s="2" t="s">
        <v>16</v>
      </c>
      <c r="E1791" s="4">
        <f>21.04*(1-Z1%)</f>
        <v>21.04</v>
      </c>
      <c r="F1791" s="2">
        <v>3</v>
      </c>
      <c r="G1791" s="2"/>
    </row>
    <row r="1792" spans="1:26" customHeight="1" ht="18" hidden="true" outlineLevel="3">
      <c r="A1792" s="2" t="s">
        <v>3374</v>
      </c>
      <c r="B1792" s="3" t="s">
        <v>3375</v>
      </c>
      <c r="C1792" s="2"/>
      <c r="D1792" s="2" t="s">
        <v>16</v>
      </c>
      <c r="E1792" s="4">
        <f>37.52*(1-Z1%)</f>
        <v>37.52</v>
      </c>
      <c r="F1792" s="2">
        <v>7</v>
      </c>
      <c r="G1792" s="2"/>
    </row>
    <row r="1793" spans="1:26" customHeight="1" ht="18" hidden="true" outlineLevel="3">
      <c r="A1793" s="2" t="s">
        <v>3376</v>
      </c>
      <c r="B1793" s="3" t="s">
        <v>3377</v>
      </c>
      <c r="C1793" s="2"/>
      <c r="D1793" s="2" t="s">
        <v>16</v>
      </c>
      <c r="E1793" s="4">
        <f>24.39*(1-Z1%)</f>
        <v>24.39</v>
      </c>
      <c r="F1793" s="2">
        <v>2</v>
      </c>
      <c r="G1793" s="2"/>
    </row>
    <row r="1794" spans="1:26" customHeight="1" ht="36" hidden="true" outlineLevel="3">
      <c r="A1794" s="2" t="s">
        <v>3378</v>
      </c>
      <c r="B1794" s="3" t="s">
        <v>3379</v>
      </c>
      <c r="C1794" s="2"/>
      <c r="D1794" s="2" t="s">
        <v>16</v>
      </c>
      <c r="E1794" s="4">
        <f>24.39*(1-Z1%)</f>
        <v>24.39</v>
      </c>
      <c r="F1794" s="2">
        <v>8</v>
      </c>
      <c r="G1794" s="2"/>
    </row>
    <row r="1795" spans="1:26" customHeight="1" ht="18" hidden="true" outlineLevel="3">
      <c r="A1795" s="2" t="s">
        <v>3380</v>
      </c>
      <c r="B1795" s="3" t="s">
        <v>3381</v>
      </c>
      <c r="C1795" s="2"/>
      <c r="D1795" s="2" t="s">
        <v>16</v>
      </c>
      <c r="E1795" s="4">
        <f>24.39*(1-Z1%)</f>
        <v>24.39</v>
      </c>
      <c r="F1795" s="2">
        <v>8</v>
      </c>
      <c r="G1795" s="2"/>
    </row>
    <row r="1796" spans="1:26" customHeight="1" ht="36" hidden="true" outlineLevel="3">
      <c r="A1796" s="2" t="s">
        <v>3382</v>
      </c>
      <c r="B1796" s="3" t="s">
        <v>3383</v>
      </c>
      <c r="C1796" s="2"/>
      <c r="D1796" s="2" t="s">
        <v>16</v>
      </c>
      <c r="E1796" s="4">
        <f>39.80*(1-Z1%)</f>
        <v>39.8</v>
      </c>
      <c r="F1796" s="2">
        <v>6</v>
      </c>
      <c r="G1796" s="2"/>
    </row>
    <row r="1797" spans="1:26" customHeight="1" ht="36" hidden="true" outlineLevel="3">
      <c r="A1797" s="2" t="s">
        <v>3384</v>
      </c>
      <c r="B1797" s="3" t="s">
        <v>3385</v>
      </c>
      <c r="C1797" s="2"/>
      <c r="D1797" s="2" t="s">
        <v>16</v>
      </c>
      <c r="E1797" s="4">
        <f>39.80*(1-Z1%)</f>
        <v>39.8</v>
      </c>
      <c r="F1797" s="2">
        <v>5</v>
      </c>
      <c r="G1797" s="2"/>
    </row>
    <row r="1798" spans="1:26" customHeight="1" ht="36" hidden="true" outlineLevel="3">
      <c r="A1798" s="2" t="s">
        <v>3386</v>
      </c>
      <c r="B1798" s="3" t="s">
        <v>3387</v>
      </c>
      <c r="C1798" s="2"/>
      <c r="D1798" s="2" t="s">
        <v>16</v>
      </c>
      <c r="E1798" s="4">
        <f>18.57*(1-Z1%)</f>
        <v>18.57</v>
      </c>
      <c r="F1798" s="2">
        <v>14</v>
      </c>
      <c r="G1798" s="2"/>
    </row>
    <row r="1799" spans="1:26" customHeight="1" ht="18" hidden="true" outlineLevel="3">
      <c r="A1799" s="2" t="s">
        <v>3388</v>
      </c>
      <c r="B1799" s="3" t="s">
        <v>3389</v>
      </c>
      <c r="C1799" s="2"/>
      <c r="D1799" s="2" t="s">
        <v>16</v>
      </c>
      <c r="E1799" s="4">
        <f>35.89*(1-Z1%)</f>
        <v>35.89</v>
      </c>
      <c r="F1799" s="2">
        <v>23</v>
      </c>
      <c r="G1799" s="2"/>
    </row>
    <row r="1800" spans="1:26" customHeight="1" ht="18" hidden="true" outlineLevel="3">
      <c r="A1800" s="2" t="s">
        <v>3390</v>
      </c>
      <c r="B1800" s="3" t="s">
        <v>3391</v>
      </c>
      <c r="C1800" s="2"/>
      <c r="D1800" s="2" t="s">
        <v>16</v>
      </c>
      <c r="E1800" s="4">
        <f>24.39*(1-Z1%)</f>
        <v>24.39</v>
      </c>
      <c r="F1800" s="2">
        <v>1</v>
      </c>
      <c r="G1800" s="2"/>
    </row>
    <row r="1801" spans="1:26" customHeight="1" ht="18" hidden="true" outlineLevel="3">
      <c r="A1801" s="2" t="s">
        <v>3392</v>
      </c>
      <c r="B1801" s="3" t="s">
        <v>3393</v>
      </c>
      <c r="C1801" s="2"/>
      <c r="D1801" s="2" t="s">
        <v>16</v>
      </c>
      <c r="E1801" s="4">
        <f>19.40*(1-Z1%)</f>
        <v>19.4</v>
      </c>
      <c r="F1801" s="2">
        <v>12</v>
      </c>
      <c r="G1801" s="2"/>
    </row>
    <row r="1802" spans="1:26" customHeight="1" ht="18" hidden="true" outlineLevel="3">
      <c r="A1802" s="2" t="s">
        <v>3394</v>
      </c>
      <c r="B1802" s="3" t="s">
        <v>3395</v>
      </c>
      <c r="C1802" s="2"/>
      <c r="D1802" s="2" t="s">
        <v>16</v>
      </c>
      <c r="E1802" s="4">
        <f>24.39*(1-Z1%)</f>
        <v>24.39</v>
      </c>
      <c r="F1802" s="2">
        <v>1</v>
      </c>
      <c r="G1802" s="2"/>
    </row>
    <row r="1803" spans="1:26" customHeight="1" ht="18" hidden="true" outlineLevel="3">
      <c r="A1803" s="2" t="s">
        <v>3396</v>
      </c>
      <c r="B1803" s="3" t="s">
        <v>3397</v>
      </c>
      <c r="C1803" s="2"/>
      <c r="D1803" s="2" t="s">
        <v>16</v>
      </c>
      <c r="E1803" s="4">
        <f>18.57*(1-Z1%)</f>
        <v>18.57</v>
      </c>
      <c r="F1803" s="2">
        <v>23</v>
      </c>
      <c r="G1803" s="2"/>
    </row>
    <row r="1804" spans="1:26" customHeight="1" ht="36" hidden="true" outlineLevel="3">
      <c r="A1804" s="2" t="s">
        <v>3398</v>
      </c>
      <c r="B1804" s="3" t="s">
        <v>3399</v>
      </c>
      <c r="C1804" s="2"/>
      <c r="D1804" s="2" t="s">
        <v>16</v>
      </c>
      <c r="E1804" s="4">
        <f>37.52*(1-Z1%)</f>
        <v>37.52</v>
      </c>
      <c r="F1804" s="2">
        <v>1</v>
      </c>
      <c r="G1804" s="2"/>
    </row>
    <row r="1805" spans="1:26" customHeight="1" ht="18" hidden="true" outlineLevel="3">
      <c r="A1805" s="2" t="s">
        <v>3400</v>
      </c>
      <c r="B1805" s="3" t="s">
        <v>3401</v>
      </c>
      <c r="C1805" s="2"/>
      <c r="D1805" s="2" t="s">
        <v>16</v>
      </c>
      <c r="E1805" s="4">
        <f>35.89*(1-Z1%)</f>
        <v>35.89</v>
      </c>
      <c r="F1805" s="2">
        <v>1</v>
      </c>
      <c r="G1805" s="2"/>
    </row>
    <row r="1806" spans="1:26" customHeight="1" ht="18" hidden="true" outlineLevel="3">
      <c r="A1806" s="2" t="s">
        <v>3402</v>
      </c>
      <c r="B1806" s="3" t="s">
        <v>3403</v>
      </c>
      <c r="C1806" s="2"/>
      <c r="D1806" s="2" t="s">
        <v>16</v>
      </c>
      <c r="E1806" s="4">
        <f>24.39*(1-Z1%)</f>
        <v>24.39</v>
      </c>
      <c r="F1806" s="2">
        <v>1</v>
      </c>
      <c r="G1806" s="2"/>
    </row>
    <row r="1807" spans="1:26" customHeight="1" ht="18" hidden="true" outlineLevel="3">
      <c r="A1807" s="2" t="s">
        <v>3404</v>
      </c>
      <c r="B1807" s="3" t="s">
        <v>3405</v>
      </c>
      <c r="C1807" s="2"/>
      <c r="D1807" s="2" t="s">
        <v>16</v>
      </c>
      <c r="E1807" s="4">
        <f>47.43*(1-Z1%)</f>
        <v>47.43</v>
      </c>
      <c r="F1807" s="2">
        <v>3</v>
      </c>
      <c r="G1807" s="2"/>
    </row>
    <row r="1808" spans="1:26" customHeight="1" ht="36" hidden="true" outlineLevel="3">
      <c r="A1808" s="2" t="s">
        <v>3406</v>
      </c>
      <c r="B1808" s="3" t="s">
        <v>3407</v>
      </c>
      <c r="C1808" s="2"/>
      <c r="D1808" s="2" t="s">
        <v>16</v>
      </c>
      <c r="E1808" s="4">
        <f>51.49*(1-Z1%)</f>
        <v>51.49</v>
      </c>
      <c r="F1808" s="2">
        <v>3</v>
      </c>
      <c r="G1808" s="2"/>
    </row>
    <row r="1809" spans="1:26" customHeight="1" ht="36" hidden="true" outlineLevel="3">
      <c r="A1809" s="2" t="s">
        <v>3408</v>
      </c>
      <c r="B1809" s="3" t="s">
        <v>3409</v>
      </c>
      <c r="C1809" s="2"/>
      <c r="D1809" s="2" t="s">
        <v>16</v>
      </c>
      <c r="E1809" s="4">
        <f>24.39*(1-Z1%)</f>
        <v>24.39</v>
      </c>
      <c r="F1809" s="2">
        <v>6</v>
      </c>
      <c r="G1809" s="2"/>
    </row>
    <row r="1810" spans="1:26" customHeight="1" ht="18" hidden="true" outlineLevel="3">
      <c r="A1810" s="2" t="s">
        <v>3410</v>
      </c>
      <c r="B1810" s="3" t="s">
        <v>3411</v>
      </c>
      <c r="C1810" s="2"/>
      <c r="D1810" s="2" t="s">
        <v>16</v>
      </c>
      <c r="E1810" s="4">
        <f>24.39*(1-Z1%)</f>
        <v>24.39</v>
      </c>
      <c r="F1810" s="2">
        <v>2</v>
      </c>
      <c r="G1810" s="2"/>
    </row>
    <row r="1811" spans="1:26" customHeight="1" ht="36" hidden="true" outlineLevel="3">
      <c r="A1811" s="2" t="s">
        <v>3412</v>
      </c>
      <c r="B1811" s="3" t="s">
        <v>3413</v>
      </c>
      <c r="C1811" s="2"/>
      <c r="D1811" s="2" t="s">
        <v>16</v>
      </c>
      <c r="E1811" s="4">
        <f>19.40*(1-Z1%)</f>
        <v>19.4</v>
      </c>
      <c r="F1811" s="2">
        <v>1</v>
      </c>
      <c r="G1811" s="2"/>
    </row>
    <row r="1812" spans="1:26" customHeight="1" ht="36" hidden="true" outlineLevel="3">
      <c r="A1812" s="2" t="s">
        <v>3414</v>
      </c>
      <c r="B1812" s="3" t="s">
        <v>3415</v>
      </c>
      <c r="C1812" s="2"/>
      <c r="D1812" s="2" t="s">
        <v>16</v>
      </c>
      <c r="E1812" s="4">
        <f>55.69*(1-Z1%)</f>
        <v>55.69</v>
      </c>
      <c r="F1812" s="2">
        <v>1</v>
      </c>
      <c r="G1812" s="2"/>
    </row>
    <row r="1813" spans="1:26" customHeight="1" ht="18" hidden="true" outlineLevel="3">
      <c r="A1813" s="2" t="s">
        <v>3416</v>
      </c>
      <c r="B1813" s="3" t="s">
        <v>3417</v>
      </c>
      <c r="C1813" s="2"/>
      <c r="D1813" s="2" t="s">
        <v>16</v>
      </c>
      <c r="E1813" s="4">
        <f>35.89*(1-Z1%)</f>
        <v>35.89</v>
      </c>
      <c r="F1813" s="2">
        <v>10</v>
      </c>
      <c r="G1813" s="2"/>
    </row>
    <row r="1814" spans="1:26" customHeight="1" ht="18" hidden="true" outlineLevel="3">
      <c r="A1814" s="2" t="s">
        <v>3418</v>
      </c>
      <c r="B1814" s="3" t="s">
        <v>3419</v>
      </c>
      <c r="C1814" s="2"/>
      <c r="D1814" s="2" t="s">
        <v>16</v>
      </c>
      <c r="E1814" s="4">
        <f>18.57*(1-Z1%)</f>
        <v>18.57</v>
      </c>
      <c r="F1814" s="2">
        <v>4</v>
      </c>
      <c r="G1814" s="2"/>
    </row>
    <row r="1815" spans="1:26" customHeight="1" ht="18" hidden="true" outlineLevel="3">
      <c r="A1815" s="2" t="s">
        <v>3420</v>
      </c>
      <c r="B1815" s="3" t="s">
        <v>3421</v>
      </c>
      <c r="C1815" s="2"/>
      <c r="D1815" s="2" t="s">
        <v>16</v>
      </c>
      <c r="E1815" s="4">
        <f>35.89*(1-Z1%)</f>
        <v>35.89</v>
      </c>
      <c r="F1815" s="2">
        <v>22</v>
      </c>
      <c r="G1815" s="2"/>
    </row>
    <row r="1816" spans="1:26" customHeight="1" ht="36" hidden="true" outlineLevel="3">
      <c r="A1816" s="2" t="s">
        <v>3422</v>
      </c>
      <c r="B1816" s="3" t="s">
        <v>3423</v>
      </c>
      <c r="C1816" s="2"/>
      <c r="D1816" s="2" t="s">
        <v>16</v>
      </c>
      <c r="E1816" s="4">
        <f>19.41*(1-Z1%)</f>
        <v>19.41</v>
      </c>
      <c r="F1816" s="2">
        <v>2</v>
      </c>
      <c r="G1816" s="2"/>
    </row>
    <row r="1817" spans="1:26" customHeight="1" ht="18" hidden="true" outlineLevel="3">
      <c r="A1817" s="2" t="s">
        <v>3424</v>
      </c>
      <c r="B1817" s="3" t="s">
        <v>3425</v>
      </c>
      <c r="C1817" s="2"/>
      <c r="D1817" s="2" t="s">
        <v>16</v>
      </c>
      <c r="E1817" s="4">
        <f>19.40*(1-Z1%)</f>
        <v>19.4</v>
      </c>
      <c r="F1817" s="2">
        <v>4</v>
      </c>
      <c r="G1817" s="2"/>
    </row>
    <row r="1818" spans="1:26" customHeight="1" ht="36" hidden="true" outlineLevel="3">
      <c r="A1818" s="2" t="s">
        <v>3426</v>
      </c>
      <c r="B1818" s="3" t="s">
        <v>3427</v>
      </c>
      <c r="C1818" s="2"/>
      <c r="D1818" s="2" t="s">
        <v>16</v>
      </c>
      <c r="E1818" s="4">
        <f>19.40*(1-Z1%)</f>
        <v>19.4</v>
      </c>
      <c r="F1818" s="2">
        <v>10</v>
      </c>
      <c r="G1818" s="2"/>
    </row>
    <row r="1819" spans="1:26" customHeight="1" ht="18" hidden="true" outlineLevel="3">
      <c r="A1819" s="2" t="s">
        <v>3428</v>
      </c>
      <c r="B1819" s="3" t="s">
        <v>3429</v>
      </c>
      <c r="C1819" s="2"/>
      <c r="D1819" s="2" t="s">
        <v>16</v>
      </c>
      <c r="E1819" s="4">
        <f>18.56*(1-Z1%)</f>
        <v>18.56</v>
      </c>
      <c r="F1819" s="2">
        <v>7</v>
      </c>
      <c r="G1819" s="2"/>
    </row>
    <row r="1820" spans="1:26" customHeight="1" ht="36" hidden="true" outlineLevel="3">
      <c r="A1820" s="2" t="s">
        <v>3430</v>
      </c>
      <c r="B1820" s="3" t="s">
        <v>3431</v>
      </c>
      <c r="C1820" s="2"/>
      <c r="D1820" s="2" t="s">
        <v>16</v>
      </c>
      <c r="E1820" s="4">
        <f>39.80*(1-Z1%)</f>
        <v>39.8</v>
      </c>
      <c r="F1820" s="2">
        <v>2</v>
      </c>
      <c r="G1820" s="2"/>
    </row>
    <row r="1821" spans="1:26" customHeight="1" ht="18" hidden="true" outlineLevel="3">
      <c r="A1821" s="2" t="s">
        <v>3432</v>
      </c>
      <c r="B1821" s="3" t="s">
        <v>3433</v>
      </c>
      <c r="C1821" s="2"/>
      <c r="D1821" s="2" t="s">
        <v>16</v>
      </c>
      <c r="E1821" s="4">
        <f>47.03*(1-Z1%)</f>
        <v>47.03</v>
      </c>
      <c r="F1821" s="2">
        <v>4</v>
      </c>
      <c r="G1821" s="2"/>
    </row>
    <row r="1822" spans="1:26" customHeight="1" ht="36" hidden="true" outlineLevel="3">
      <c r="A1822" s="2" t="s">
        <v>3434</v>
      </c>
      <c r="B1822" s="3" t="s">
        <v>3435</v>
      </c>
      <c r="C1822" s="2"/>
      <c r="D1822" s="2" t="s">
        <v>16</v>
      </c>
      <c r="E1822" s="4">
        <f>37.52*(1-Z1%)</f>
        <v>37.52</v>
      </c>
      <c r="F1822" s="2">
        <v>2</v>
      </c>
      <c r="G1822" s="2"/>
    </row>
    <row r="1823" spans="1:26" customHeight="1" ht="18" hidden="true" outlineLevel="3">
      <c r="A1823" s="2" t="s">
        <v>3436</v>
      </c>
      <c r="B1823" s="3" t="s">
        <v>3437</v>
      </c>
      <c r="C1823" s="2"/>
      <c r="D1823" s="2" t="s">
        <v>16</v>
      </c>
      <c r="E1823" s="4">
        <f>18.57*(1-Z1%)</f>
        <v>18.57</v>
      </c>
      <c r="F1823" s="2">
        <v>1</v>
      </c>
      <c r="G1823" s="2"/>
    </row>
    <row r="1824" spans="1:26" customHeight="1" ht="36" hidden="true" outlineLevel="3">
      <c r="A1824" s="2" t="s">
        <v>3438</v>
      </c>
      <c r="B1824" s="3" t="s">
        <v>3439</v>
      </c>
      <c r="C1824" s="2"/>
      <c r="D1824" s="2" t="s">
        <v>16</v>
      </c>
      <c r="E1824" s="4">
        <f>19.40*(1-Z1%)</f>
        <v>19.4</v>
      </c>
      <c r="F1824" s="2">
        <v>3</v>
      </c>
      <c r="G1824" s="2"/>
    </row>
    <row r="1825" spans="1:26" customHeight="1" ht="36" hidden="true" outlineLevel="3">
      <c r="A1825" s="2" t="s">
        <v>3440</v>
      </c>
      <c r="B1825" s="3" t="s">
        <v>3441</v>
      </c>
      <c r="C1825" s="2"/>
      <c r="D1825" s="2" t="s">
        <v>16</v>
      </c>
      <c r="E1825" s="4">
        <f>51.49*(1-Z1%)</f>
        <v>51.49</v>
      </c>
      <c r="F1825" s="2">
        <v>2</v>
      </c>
      <c r="G1825" s="2"/>
    </row>
    <row r="1826" spans="1:26" customHeight="1" ht="18" hidden="true" outlineLevel="3">
      <c r="A1826" s="2" t="s">
        <v>3442</v>
      </c>
      <c r="B1826" s="3" t="s">
        <v>3443</v>
      </c>
      <c r="C1826" s="2"/>
      <c r="D1826" s="2" t="s">
        <v>16</v>
      </c>
      <c r="E1826" s="4">
        <f>24.39*(1-Z1%)</f>
        <v>24.39</v>
      </c>
      <c r="F1826" s="2">
        <v>7</v>
      </c>
      <c r="G1826" s="2"/>
    </row>
    <row r="1827" spans="1:26" customHeight="1" ht="18" hidden="true" outlineLevel="3">
      <c r="A1827" s="2" t="s">
        <v>3444</v>
      </c>
      <c r="B1827" s="3" t="s">
        <v>3445</v>
      </c>
      <c r="C1827" s="2"/>
      <c r="D1827" s="2" t="s">
        <v>16</v>
      </c>
      <c r="E1827" s="4">
        <f>25.75*(1-Z1%)</f>
        <v>25.75</v>
      </c>
      <c r="F1827" s="2">
        <v>5</v>
      </c>
      <c r="G1827" s="2"/>
    </row>
    <row r="1828" spans="1:26" customHeight="1" ht="18" hidden="true" outlineLevel="3">
      <c r="A1828" s="2" t="s">
        <v>3446</v>
      </c>
      <c r="B1828" s="3" t="s">
        <v>3447</v>
      </c>
      <c r="C1828" s="2"/>
      <c r="D1828" s="2" t="s">
        <v>16</v>
      </c>
      <c r="E1828" s="4">
        <f>25.75*(1-Z1%)</f>
        <v>25.75</v>
      </c>
      <c r="F1828" s="2">
        <v>8</v>
      </c>
      <c r="G1828" s="2"/>
    </row>
    <row r="1829" spans="1:26" customHeight="1" ht="18" hidden="true" outlineLevel="3">
      <c r="A1829" s="2" t="s">
        <v>3448</v>
      </c>
      <c r="B1829" s="3" t="s">
        <v>3449</v>
      </c>
      <c r="C1829" s="2"/>
      <c r="D1829" s="2" t="s">
        <v>16</v>
      </c>
      <c r="E1829" s="4">
        <f>24.39*(1-Z1%)</f>
        <v>24.39</v>
      </c>
      <c r="F1829" s="2">
        <v>2</v>
      </c>
      <c r="G1829" s="2"/>
    </row>
    <row r="1830" spans="1:26" customHeight="1" ht="18" hidden="true" outlineLevel="3">
      <c r="A1830" s="2" t="s">
        <v>3450</v>
      </c>
      <c r="B1830" s="3" t="s">
        <v>3451</v>
      </c>
      <c r="C1830" s="2"/>
      <c r="D1830" s="2" t="s">
        <v>16</v>
      </c>
      <c r="E1830" s="4">
        <f>24.39*(1-Z1%)</f>
        <v>24.39</v>
      </c>
      <c r="F1830" s="2">
        <v>2</v>
      </c>
      <c r="G1830" s="2"/>
    </row>
    <row r="1831" spans="1:26" customHeight="1" ht="36" hidden="true" outlineLevel="3">
      <c r="A1831" s="2" t="s">
        <v>3452</v>
      </c>
      <c r="B1831" s="3" t="s">
        <v>3453</v>
      </c>
      <c r="C1831" s="2"/>
      <c r="D1831" s="2" t="s">
        <v>16</v>
      </c>
      <c r="E1831" s="4">
        <f>51.49*(1-Z1%)</f>
        <v>51.49</v>
      </c>
      <c r="F1831" s="2">
        <v>1</v>
      </c>
      <c r="G1831" s="2"/>
    </row>
    <row r="1832" spans="1:26" customHeight="1" ht="36" hidden="true" outlineLevel="3">
      <c r="A1832" s="2" t="s">
        <v>3454</v>
      </c>
      <c r="B1832" s="3" t="s">
        <v>3455</v>
      </c>
      <c r="C1832" s="2"/>
      <c r="D1832" s="2" t="s">
        <v>16</v>
      </c>
      <c r="E1832" s="4">
        <f>18.56*(1-Z1%)</f>
        <v>18.56</v>
      </c>
      <c r="F1832" s="2">
        <v>6</v>
      </c>
      <c r="G1832" s="2"/>
    </row>
    <row r="1833" spans="1:26" customHeight="1" ht="36" hidden="true" outlineLevel="3">
      <c r="A1833" s="2" t="s">
        <v>3456</v>
      </c>
      <c r="B1833" s="3" t="s">
        <v>3457</v>
      </c>
      <c r="C1833" s="2"/>
      <c r="D1833" s="2" t="s">
        <v>16</v>
      </c>
      <c r="E1833" s="4">
        <f>39.80*(1-Z1%)</f>
        <v>39.8</v>
      </c>
      <c r="F1833" s="2">
        <v>2</v>
      </c>
      <c r="G1833" s="2"/>
    </row>
    <row r="1834" spans="1:26" customHeight="1" ht="36" hidden="true" outlineLevel="3">
      <c r="A1834" s="2" t="s">
        <v>3458</v>
      </c>
      <c r="B1834" s="3" t="s">
        <v>3459</v>
      </c>
      <c r="C1834" s="2"/>
      <c r="D1834" s="2" t="s">
        <v>16</v>
      </c>
      <c r="E1834" s="4">
        <f>39.80*(1-Z1%)</f>
        <v>39.8</v>
      </c>
      <c r="F1834" s="2">
        <v>2</v>
      </c>
      <c r="G1834" s="2"/>
    </row>
    <row r="1835" spans="1:26" customHeight="1" ht="36" hidden="true" outlineLevel="3">
      <c r="A1835" s="2" t="s">
        <v>3460</v>
      </c>
      <c r="B1835" s="3" t="s">
        <v>3461</v>
      </c>
      <c r="C1835" s="2"/>
      <c r="D1835" s="2" t="s">
        <v>16</v>
      </c>
      <c r="E1835" s="4">
        <f>19.40*(1-Z1%)</f>
        <v>19.4</v>
      </c>
      <c r="F1835" s="2">
        <v>2</v>
      </c>
      <c r="G1835" s="2"/>
    </row>
    <row r="1836" spans="1:26" customHeight="1" ht="18" hidden="true" outlineLevel="3">
      <c r="A1836" s="2" t="s">
        <v>3462</v>
      </c>
      <c r="B1836" s="3" t="s">
        <v>3463</v>
      </c>
      <c r="C1836" s="2"/>
      <c r="D1836" s="2" t="s">
        <v>16</v>
      </c>
      <c r="E1836" s="4">
        <f>24.39*(1-Z1%)</f>
        <v>24.39</v>
      </c>
      <c r="F1836" s="2">
        <v>1</v>
      </c>
      <c r="G1836" s="2"/>
    </row>
    <row r="1837" spans="1:26" customHeight="1" ht="18" hidden="true" outlineLevel="3">
      <c r="A1837" s="2" t="s">
        <v>3464</v>
      </c>
      <c r="B1837" s="3" t="s">
        <v>3465</v>
      </c>
      <c r="C1837" s="2"/>
      <c r="D1837" s="2" t="s">
        <v>16</v>
      </c>
      <c r="E1837" s="4">
        <f>18.57*(1-Z1%)</f>
        <v>18.57</v>
      </c>
      <c r="F1837" s="2">
        <v>4</v>
      </c>
      <c r="G1837" s="2"/>
    </row>
    <row r="1838" spans="1:26" customHeight="1" ht="18" hidden="true" outlineLevel="3">
      <c r="A1838" s="2" t="s">
        <v>3466</v>
      </c>
      <c r="B1838" s="3" t="s">
        <v>3467</v>
      </c>
      <c r="C1838" s="2"/>
      <c r="D1838" s="2" t="s">
        <v>16</v>
      </c>
      <c r="E1838" s="4">
        <f>19.40*(1-Z1%)</f>
        <v>19.4</v>
      </c>
      <c r="F1838" s="2">
        <v>1</v>
      </c>
      <c r="G1838" s="2"/>
    </row>
    <row r="1839" spans="1:26" customHeight="1" ht="18" hidden="true" outlineLevel="3">
      <c r="A1839" s="2" t="s">
        <v>3468</v>
      </c>
      <c r="B1839" s="3" t="s">
        <v>3469</v>
      </c>
      <c r="C1839" s="2"/>
      <c r="D1839" s="2" t="s">
        <v>16</v>
      </c>
      <c r="E1839" s="4">
        <f>55.69*(1-Z1%)</f>
        <v>55.69</v>
      </c>
      <c r="F1839" s="2">
        <v>5</v>
      </c>
      <c r="G1839" s="2"/>
    </row>
    <row r="1840" spans="1:26" customHeight="1" ht="36" hidden="true" outlineLevel="3">
      <c r="A1840" s="2" t="s">
        <v>3470</v>
      </c>
      <c r="B1840" s="3" t="s">
        <v>3471</v>
      </c>
      <c r="C1840" s="2"/>
      <c r="D1840" s="2" t="s">
        <v>16</v>
      </c>
      <c r="E1840" s="4">
        <f>55.69*(1-Z1%)</f>
        <v>55.69</v>
      </c>
      <c r="F1840" s="2">
        <v>3</v>
      </c>
      <c r="G1840" s="2"/>
    </row>
    <row r="1841" spans="1:26" customHeight="1" ht="36" hidden="true" outlineLevel="3">
      <c r="A1841" s="2" t="s">
        <v>3472</v>
      </c>
      <c r="B1841" s="3" t="s">
        <v>3473</v>
      </c>
      <c r="C1841" s="2"/>
      <c r="D1841" s="2" t="s">
        <v>16</v>
      </c>
      <c r="E1841" s="4">
        <f>39.80*(1-Z1%)</f>
        <v>39.8</v>
      </c>
      <c r="F1841" s="2">
        <v>1</v>
      </c>
      <c r="G1841" s="2"/>
    </row>
    <row r="1842" spans="1:26" customHeight="1" ht="36" hidden="true" outlineLevel="3">
      <c r="A1842" s="2" t="s">
        <v>3474</v>
      </c>
      <c r="B1842" s="3" t="s">
        <v>3475</v>
      </c>
      <c r="C1842" s="2"/>
      <c r="D1842" s="2" t="s">
        <v>16</v>
      </c>
      <c r="E1842" s="4">
        <f>406.98*(1-Z1%)</f>
        <v>406.98</v>
      </c>
      <c r="F1842" s="2">
        <v>1</v>
      </c>
      <c r="G1842" s="2"/>
    </row>
    <row r="1843" spans="1:26" customHeight="1" ht="36" hidden="true" outlineLevel="3">
      <c r="A1843" s="2" t="s">
        <v>3476</v>
      </c>
      <c r="B1843" s="3" t="s">
        <v>3477</v>
      </c>
      <c r="C1843" s="2"/>
      <c r="D1843" s="2" t="s">
        <v>16</v>
      </c>
      <c r="E1843" s="4">
        <f>406.98*(1-Z1%)</f>
        <v>406.98</v>
      </c>
      <c r="F1843" s="2">
        <v>1</v>
      </c>
      <c r="G1843" s="2"/>
    </row>
    <row r="1844" spans="1:26" customHeight="1" ht="36" hidden="true" outlineLevel="3">
      <c r="A1844" s="2" t="s">
        <v>3478</v>
      </c>
      <c r="B1844" s="3" t="s">
        <v>3479</v>
      </c>
      <c r="C1844" s="2"/>
      <c r="D1844" s="2" t="s">
        <v>16</v>
      </c>
      <c r="E1844" s="4">
        <f>406.98*(1-Z1%)</f>
        <v>406.98</v>
      </c>
      <c r="F1844" s="2">
        <v>2</v>
      </c>
      <c r="G1844" s="2"/>
    </row>
    <row r="1845" spans="1:26" customHeight="1" ht="36" hidden="true" outlineLevel="3">
      <c r="A1845" s="2" t="s">
        <v>3480</v>
      </c>
      <c r="B1845" s="3" t="s">
        <v>3481</v>
      </c>
      <c r="C1845" s="2"/>
      <c r="D1845" s="2" t="s">
        <v>16</v>
      </c>
      <c r="E1845" s="4">
        <f>248.06*(1-Z1%)</f>
        <v>248.06</v>
      </c>
      <c r="F1845" s="2">
        <v>1</v>
      </c>
      <c r="G1845" s="2"/>
    </row>
    <row r="1846" spans="1:26" customHeight="1" ht="18" hidden="true" outlineLevel="3">
      <c r="A1846" s="2" t="s">
        <v>3482</v>
      </c>
      <c r="B1846" s="3" t="s">
        <v>3483</v>
      </c>
      <c r="C1846" s="2"/>
      <c r="D1846" s="2" t="s">
        <v>16</v>
      </c>
      <c r="E1846" s="4">
        <f>248.06*(1-Z1%)</f>
        <v>248.06</v>
      </c>
      <c r="F1846" s="2">
        <v>1</v>
      </c>
      <c r="G1846" s="2"/>
    </row>
    <row r="1847" spans="1:26" customHeight="1" ht="18" hidden="true" outlineLevel="3">
      <c r="A1847" s="2" t="s">
        <v>3484</v>
      </c>
      <c r="B1847" s="3" t="s">
        <v>3485</v>
      </c>
      <c r="C1847" s="2"/>
      <c r="D1847" s="2" t="s">
        <v>16</v>
      </c>
      <c r="E1847" s="4">
        <f>161.26*(1-Z1%)</f>
        <v>161.26</v>
      </c>
      <c r="F1847" s="2">
        <v>3</v>
      </c>
      <c r="G1847" s="2"/>
    </row>
    <row r="1848" spans="1:26" customHeight="1" ht="18" hidden="true" outlineLevel="3">
      <c r="A1848" s="2" t="s">
        <v>3486</v>
      </c>
      <c r="B1848" s="3" t="s">
        <v>3487</v>
      </c>
      <c r="C1848" s="2"/>
      <c r="D1848" s="2" t="s">
        <v>16</v>
      </c>
      <c r="E1848" s="4">
        <f>248.06*(1-Z1%)</f>
        <v>248.06</v>
      </c>
      <c r="F1848" s="2">
        <v>1</v>
      </c>
      <c r="G1848" s="2"/>
    </row>
    <row r="1849" spans="1:26" customHeight="1" ht="18" hidden="true" outlineLevel="3">
      <c r="A1849" s="2" t="s">
        <v>3488</v>
      </c>
      <c r="B1849" s="3" t="s">
        <v>3489</v>
      </c>
      <c r="C1849" s="2"/>
      <c r="D1849" s="2" t="s">
        <v>16</v>
      </c>
      <c r="E1849" s="4">
        <f>151.37*(1-Z1%)</f>
        <v>151.37</v>
      </c>
      <c r="F1849" s="2">
        <v>1</v>
      </c>
      <c r="G1849" s="2"/>
    </row>
    <row r="1850" spans="1:26" customHeight="1" ht="36" hidden="true" outlineLevel="3">
      <c r="A1850" s="2" t="s">
        <v>3490</v>
      </c>
      <c r="B1850" s="3" t="s">
        <v>3491</v>
      </c>
      <c r="C1850" s="2"/>
      <c r="D1850" s="2" t="s">
        <v>16</v>
      </c>
      <c r="E1850" s="4">
        <f>228.99*(1-Z1%)</f>
        <v>228.99</v>
      </c>
      <c r="F1850" s="2">
        <v>2</v>
      </c>
      <c r="G1850" s="2"/>
    </row>
    <row r="1851" spans="1:26" customHeight="1" ht="18" hidden="true" outlineLevel="3">
      <c r="A1851" s="2" t="s">
        <v>3492</v>
      </c>
      <c r="B1851" s="3" t="s">
        <v>3493</v>
      </c>
      <c r="C1851" s="2"/>
      <c r="D1851" s="2" t="s">
        <v>16</v>
      </c>
      <c r="E1851" s="4">
        <f>76.33*(1-Z1%)</f>
        <v>76.33</v>
      </c>
      <c r="F1851" s="2">
        <v>1</v>
      </c>
      <c r="G1851" s="2"/>
    </row>
    <row r="1852" spans="1:26" customHeight="1" ht="18" hidden="true" outlineLevel="3">
      <c r="A1852" s="2" t="s">
        <v>3494</v>
      </c>
      <c r="B1852" s="3" t="s">
        <v>3495</v>
      </c>
      <c r="C1852" s="2"/>
      <c r="D1852" s="2" t="s">
        <v>16</v>
      </c>
      <c r="E1852" s="4">
        <f>178.54*(1-Z1%)</f>
        <v>178.54</v>
      </c>
      <c r="F1852" s="2">
        <v>1</v>
      </c>
      <c r="G1852" s="2"/>
    </row>
    <row r="1853" spans="1:26" customHeight="1" ht="18" hidden="true" outlineLevel="3">
      <c r="A1853" s="2" t="s">
        <v>3496</v>
      </c>
      <c r="B1853" s="3" t="s">
        <v>3497</v>
      </c>
      <c r="C1853" s="2"/>
      <c r="D1853" s="2" t="s">
        <v>16</v>
      </c>
      <c r="E1853" s="4">
        <f>178.54*(1-Z1%)</f>
        <v>178.54</v>
      </c>
      <c r="F1853" s="2">
        <v>1</v>
      </c>
      <c r="G1853" s="2"/>
    </row>
    <row r="1854" spans="1:26" customHeight="1" ht="18" hidden="true" outlineLevel="3">
      <c r="A1854" s="2" t="s">
        <v>3498</v>
      </c>
      <c r="B1854" s="3" t="s">
        <v>3499</v>
      </c>
      <c r="C1854" s="2"/>
      <c r="D1854" s="2" t="s">
        <v>16</v>
      </c>
      <c r="E1854" s="4">
        <f>77.96*(1-Z1%)</f>
        <v>77.96</v>
      </c>
      <c r="F1854" s="2">
        <v>2</v>
      </c>
      <c r="G1854" s="2"/>
    </row>
    <row r="1855" spans="1:26" customHeight="1" ht="18" hidden="true" outlineLevel="3">
      <c r="A1855" s="2" t="s">
        <v>3500</v>
      </c>
      <c r="B1855" s="3" t="s">
        <v>3501</v>
      </c>
      <c r="C1855" s="2"/>
      <c r="D1855" s="2" t="s">
        <v>16</v>
      </c>
      <c r="E1855" s="4">
        <f>112.22*(1-Z1%)</f>
        <v>112.22</v>
      </c>
      <c r="F1855" s="2">
        <v>1</v>
      </c>
      <c r="G1855" s="2"/>
    </row>
    <row r="1856" spans="1:26" customHeight="1" ht="18" hidden="true" outlineLevel="3">
      <c r="A1856" s="2" t="s">
        <v>3502</v>
      </c>
      <c r="B1856" s="3" t="s">
        <v>3503</v>
      </c>
      <c r="C1856" s="2"/>
      <c r="D1856" s="2" t="s">
        <v>16</v>
      </c>
      <c r="E1856" s="4">
        <f>131.12*(1-Z1%)</f>
        <v>131.12</v>
      </c>
      <c r="F1856" s="2">
        <v>1</v>
      </c>
      <c r="G1856" s="2"/>
    </row>
    <row r="1857" spans="1:26" customHeight="1" ht="18" hidden="true" outlineLevel="3">
      <c r="A1857" s="2" t="s">
        <v>3504</v>
      </c>
      <c r="B1857" s="3" t="s">
        <v>3505</v>
      </c>
      <c r="C1857" s="2"/>
      <c r="D1857" s="2" t="s">
        <v>16</v>
      </c>
      <c r="E1857" s="4">
        <f>131.12*(1-Z1%)</f>
        <v>131.12</v>
      </c>
      <c r="F1857" s="2">
        <v>1</v>
      </c>
      <c r="G1857" s="2"/>
    </row>
    <row r="1858" spans="1:26" customHeight="1" ht="18" hidden="true" outlineLevel="3">
      <c r="A1858" s="2" t="s">
        <v>3506</v>
      </c>
      <c r="B1858" s="3" t="s">
        <v>3507</v>
      </c>
      <c r="C1858" s="2"/>
      <c r="D1858" s="2" t="s">
        <v>16</v>
      </c>
      <c r="E1858" s="4">
        <f>87.98*(1-Z1%)</f>
        <v>87.98</v>
      </c>
      <c r="F1858" s="2">
        <v>1</v>
      </c>
      <c r="G1858" s="2"/>
    </row>
    <row r="1859" spans="1:26" customHeight="1" ht="18" hidden="true" outlineLevel="3">
      <c r="A1859" s="2" t="s">
        <v>3508</v>
      </c>
      <c r="B1859" s="3" t="s">
        <v>3509</v>
      </c>
      <c r="C1859" s="2"/>
      <c r="D1859" s="2" t="s">
        <v>16</v>
      </c>
      <c r="E1859" s="4">
        <f>76.33*(1-Z1%)</f>
        <v>76.33</v>
      </c>
      <c r="F1859" s="2">
        <v>1</v>
      </c>
      <c r="G1859" s="2"/>
    </row>
    <row r="1860" spans="1:26" customHeight="1" ht="18" hidden="true" outlineLevel="3">
      <c r="A1860" s="2" t="s">
        <v>3510</v>
      </c>
      <c r="B1860" s="3" t="s">
        <v>3511</v>
      </c>
      <c r="C1860" s="2"/>
      <c r="D1860" s="2" t="s">
        <v>16</v>
      </c>
      <c r="E1860" s="4">
        <f>87.98*(1-Z1%)</f>
        <v>87.98</v>
      </c>
      <c r="F1860" s="2">
        <v>1</v>
      </c>
      <c r="G1860" s="2"/>
    </row>
    <row r="1861" spans="1:26" customHeight="1" ht="18" hidden="true" outlineLevel="3">
      <c r="A1861" s="2" t="s">
        <v>3512</v>
      </c>
      <c r="B1861" s="3" t="s">
        <v>3513</v>
      </c>
      <c r="C1861" s="2"/>
      <c r="D1861" s="2" t="s">
        <v>16</v>
      </c>
      <c r="E1861" s="4">
        <f>77.96*(1-Z1%)</f>
        <v>77.96</v>
      </c>
      <c r="F1861" s="2">
        <v>1</v>
      </c>
      <c r="G1861" s="2"/>
    </row>
    <row r="1862" spans="1:26" customHeight="1" ht="18" hidden="true" outlineLevel="3">
      <c r="A1862" s="2" t="s">
        <v>3514</v>
      </c>
      <c r="B1862" s="3" t="s">
        <v>3515</v>
      </c>
      <c r="C1862" s="2"/>
      <c r="D1862" s="2" t="s">
        <v>16</v>
      </c>
      <c r="E1862" s="4">
        <f>83.87*(1-Z1%)</f>
        <v>83.87</v>
      </c>
      <c r="F1862" s="2">
        <v>1</v>
      </c>
      <c r="G1862" s="2"/>
    </row>
    <row r="1863" spans="1:26" customHeight="1" ht="18" hidden="true" outlineLevel="3">
      <c r="A1863" s="2" t="s">
        <v>3516</v>
      </c>
      <c r="B1863" s="3" t="s">
        <v>3517</v>
      </c>
      <c r="C1863" s="2"/>
      <c r="D1863" s="2" t="s">
        <v>16</v>
      </c>
      <c r="E1863" s="4">
        <f>132.30*(1-Z1%)</f>
        <v>132.3</v>
      </c>
      <c r="F1863" s="2">
        <v>1</v>
      </c>
      <c r="G1863" s="2"/>
    </row>
    <row r="1864" spans="1:26" customHeight="1" ht="36" hidden="true" outlineLevel="3">
      <c r="A1864" s="2" t="s">
        <v>3518</v>
      </c>
      <c r="B1864" s="3" t="s">
        <v>3519</v>
      </c>
      <c r="C1864" s="2"/>
      <c r="D1864" s="2" t="s">
        <v>16</v>
      </c>
      <c r="E1864" s="4">
        <f>116.94*(1-Z1%)</f>
        <v>116.94</v>
      </c>
      <c r="F1864" s="2">
        <v>1</v>
      </c>
      <c r="G1864" s="2"/>
    </row>
    <row r="1865" spans="1:26" customHeight="1" ht="36" hidden="true" outlineLevel="3">
      <c r="A1865" s="2" t="s">
        <v>3520</v>
      </c>
      <c r="B1865" s="3" t="s">
        <v>3521</v>
      </c>
      <c r="C1865" s="2"/>
      <c r="D1865" s="2" t="s">
        <v>16</v>
      </c>
      <c r="E1865" s="4">
        <f>133.48*(1-Z1%)</f>
        <v>133.48</v>
      </c>
      <c r="F1865" s="2">
        <v>1</v>
      </c>
      <c r="G1865" s="2"/>
    </row>
    <row r="1866" spans="1:26" customHeight="1" ht="18" hidden="true" outlineLevel="3">
      <c r="A1866" s="2" t="s">
        <v>3522</v>
      </c>
      <c r="B1866" s="3" t="s">
        <v>3523</v>
      </c>
      <c r="C1866" s="2"/>
      <c r="D1866" s="2" t="s">
        <v>16</v>
      </c>
      <c r="E1866" s="4">
        <f>106.31*(1-Z1%)</f>
        <v>106.31</v>
      </c>
      <c r="F1866" s="2">
        <v>2</v>
      </c>
      <c r="G1866" s="2"/>
    </row>
    <row r="1867" spans="1:26" customHeight="1" ht="36" hidden="true" outlineLevel="3">
      <c r="A1867" s="2" t="s">
        <v>3524</v>
      </c>
      <c r="B1867" s="3" t="s">
        <v>3525</v>
      </c>
      <c r="C1867" s="2"/>
      <c r="D1867" s="2" t="s">
        <v>16</v>
      </c>
      <c r="E1867" s="4">
        <f>116.94*(1-Z1%)</f>
        <v>116.94</v>
      </c>
      <c r="F1867" s="2">
        <v>1</v>
      </c>
      <c r="G1867" s="2"/>
    </row>
    <row r="1868" spans="1:26" customHeight="1" ht="36" hidden="true" outlineLevel="3">
      <c r="A1868" s="2" t="s">
        <v>3526</v>
      </c>
      <c r="B1868" s="3" t="s">
        <v>3527</v>
      </c>
      <c r="C1868" s="2"/>
      <c r="D1868" s="2" t="s">
        <v>16</v>
      </c>
      <c r="E1868" s="4">
        <f>151.37*(1-Z1%)</f>
        <v>151.37</v>
      </c>
      <c r="F1868" s="2">
        <v>1</v>
      </c>
      <c r="G1868" s="2"/>
    </row>
    <row r="1869" spans="1:26" customHeight="1" ht="18" hidden="true" outlineLevel="3">
      <c r="A1869" s="2" t="s">
        <v>3528</v>
      </c>
      <c r="B1869" s="3" t="s">
        <v>3529</v>
      </c>
      <c r="C1869" s="2"/>
      <c r="D1869" s="2" t="s">
        <v>16</v>
      </c>
      <c r="E1869" s="4">
        <f>74.42*(1-Z1%)</f>
        <v>74.42</v>
      </c>
      <c r="F1869" s="2">
        <v>1</v>
      </c>
      <c r="G1869" s="2"/>
    </row>
    <row r="1870" spans="1:26" customHeight="1" ht="18" hidden="true" outlineLevel="3">
      <c r="A1870" s="2" t="s">
        <v>3530</v>
      </c>
      <c r="B1870" s="3" t="s">
        <v>3531</v>
      </c>
      <c r="C1870" s="2"/>
      <c r="D1870" s="2" t="s">
        <v>16</v>
      </c>
      <c r="E1870" s="4">
        <f>29.43*(1-Z1%)</f>
        <v>29.43</v>
      </c>
      <c r="F1870" s="2">
        <v>7</v>
      </c>
      <c r="G1870" s="2"/>
    </row>
    <row r="1871" spans="1:26" customHeight="1" ht="18" hidden="true" outlineLevel="3">
      <c r="A1871" s="2" t="s">
        <v>3532</v>
      </c>
      <c r="B1871" s="3" t="s">
        <v>3533</v>
      </c>
      <c r="C1871" s="2"/>
      <c r="D1871" s="2" t="s">
        <v>16</v>
      </c>
      <c r="E1871" s="4">
        <f>77.96*(1-Z1%)</f>
        <v>77.96</v>
      </c>
      <c r="F1871" s="2">
        <v>1</v>
      </c>
      <c r="G1871" s="2"/>
    </row>
    <row r="1872" spans="1:26" customHeight="1" ht="18" hidden="true" outlineLevel="3">
      <c r="A1872" s="2" t="s">
        <v>3534</v>
      </c>
      <c r="B1872" s="3" t="s">
        <v>3535</v>
      </c>
      <c r="C1872" s="2"/>
      <c r="D1872" s="2" t="s">
        <v>16</v>
      </c>
      <c r="E1872" s="4">
        <f>74.42*(1-Z1%)</f>
        <v>74.42</v>
      </c>
      <c r="F1872" s="2">
        <v>1</v>
      </c>
      <c r="G1872" s="2"/>
    </row>
    <row r="1873" spans="1:26" customHeight="1" ht="18" hidden="true" outlineLevel="3">
      <c r="A1873" s="2" t="s">
        <v>3536</v>
      </c>
      <c r="B1873" s="3" t="s">
        <v>3537</v>
      </c>
      <c r="C1873" s="2"/>
      <c r="D1873" s="2" t="s">
        <v>16</v>
      </c>
      <c r="E1873" s="4">
        <f>67.33*(1-Z1%)</f>
        <v>67.33</v>
      </c>
      <c r="F1873" s="2">
        <v>1</v>
      </c>
      <c r="G1873" s="2"/>
    </row>
    <row r="1874" spans="1:26" customHeight="1" ht="35">
      <c r="A1874" s="1" t="s">
        <v>3538</v>
      </c>
      <c r="B1874" s="1"/>
      <c r="C1874" s="1"/>
      <c r="D1874" s="1"/>
      <c r="E1874" s="1"/>
      <c r="F1874" s="1"/>
      <c r="G1874" s="1"/>
    </row>
    <row r="1875" spans="1:26" customHeight="1" ht="35" hidden="true" outlineLevel="2">
      <c r="A1875" s="5" t="s">
        <v>3539</v>
      </c>
      <c r="B1875" s="5"/>
      <c r="C1875" s="5"/>
      <c r="D1875" s="5"/>
      <c r="E1875" s="5"/>
      <c r="F1875" s="5"/>
      <c r="G1875" s="5"/>
    </row>
    <row r="1876" spans="1:26" customHeight="1" ht="35" hidden="true" outlineLevel="3">
      <c r="A1876" s="5" t="s">
        <v>3540</v>
      </c>
      <c r="B1876" s="5"/>
      <c r="C1876" s="5"/>
      <c r="D1876" s="5"/>
      <c r="E1876" s="5"/>
      <c r="F1876" s="5"/>
      <c r="G1876" s="5"/>
    </row>
    <row r="1877" spans="1:26" customHeight="1" ht="36" hidden="true" outlineLevel="3">
      <c r="A1877" s="2" t="s">
        <v>3541</v>
      </c>
      <c r="B1877" s="3" t="s">
        <v>3542</v>
      </c>
      <c r="C1877" s="2"/>
      <c r="D1877" s="2" t="s">
        <v>16</v>
      </c>
      <c r="E1877" s="4">
        <f>551.25*(1-Z1%)</f>
        <v>551.25</v>
      </c>
      <c r="F1877" s="2">
        <v>13</v>
      </c>
      <c r="G1877" s="2"/>
    </row>
    <row r="1878" spans="1:26" customHeight="1" ht="36" hidden="true" outlineLevel="3">
      <c r="A1878" s="2" t="s">
        <v>3543</v>
      </c>
      <c r="B1878" s="3" t="s">
        <v>3544</v>
      </c>
      <c r="C1878" s="2"/>
      <c r="D1878" s="2" t="s">
        <v>16</v>
      </c>
      <c r="E1878" s="4">
        <f>787.50*(1-Z1%)</f>
        <v>787.5</v>
      </c>
      <c r="F1878" s="2">
        <v>12</v>
      </c>
      <c r="G1878" s="2"/>
    </row>
    <row r="1879" spans="1:26" customHeight="1" ht="36" hidden="true" outlineLevel="3">
      <c r="A1879" s="2" t="s">
        <v>3545</v>
      </c>
      <c r="B1879" s="3" t="s">
        <v>3546</v>
      </c>
      <c r="C1879" s="2"/>
      <c r="D1879" s="2" t="s">
        <v>16</v>
      </c>
      <c r="E1879" s="4">
        <f>742.50*(1-Z1%)</f>
        <v>742.5</v>
      </c>
      <c r="F1879" s="2">
        <v>13</v>
      </c>
      <c r="G1879" s="2"/>
    </row>
    <row r="1880" spans="1:26" customHeight="1" ht="36" hidden="true" outlineLevel="3">
      <c r="A1880" s="2" t="s">
        <v>3547</v>
      </c>
      <c r="B1880" s="3" t="s">
        <v>3548</v>
      </c>
      <c r="C1880" s="2"/>
      <c r="D1880" s="2" t="s">
        <v>16</v>
      </c>
      <c r="E1880" s="4">
        <f>742.50*(1-Z1%)</f>
        <v>742.5</v>
      </c>
      <c r="F1880" s="2">
        <v>13</v>
      </c>
      <c r="G1880" s="2"/>
    </row>
    <row r="1881" spans="1:26" customHeight="1" ht="36" hidden="true" outlineLevel="3">
      <c r="A1881" s="2" t="s">
        <v>3549</v>
      </c>
      <c r="B1881" s="3" t="s">
        <v>3550</v>
      </c>
      <c r="C1881" s="2"/>
      <c r="D1881" s="2" t="s">
        <v>16</v>
      </c>
      <c r="E1881" s="4">
        <f>742.50*(1-Z1%)</f>
        <v>742.5</v>
      </c>
      <c r="F1881" s="2">
        <v>12</v>
      </c>
      <c r="G1881" s="2"/>
    </row>
    <row r="1882" spans="1:26" customHeight="1" ht="18" hidden="true" outlineLevel="3">
      <c r="A1882" s="2" t="s">
        <v>3551</v>
      </c>
      <c r="B1882" s="3" t="s">
        <v>3552</v>
      </c>
      <c r="C1882" s="2"/>
      <c r="D1882" s="2" t="s">
        <v>16</v>
      </c>
      <c r="E1882" s="4">
        <f>292.50*(1-Z1%)</f>
        <v>292.5</v>
      </c>
      <c r="F1882" s="2">
        <v>17</v>
      </c>
      <c r="G1882" s="2"/>
    </row>
    <row r="1883" spans="1:26" customHeight="1" ht="36" hidden="true" outlineLevel="3">
      <c r="A1883" s="2" t="s">
        <v>3553</v>
      </c>
      <c r="B1883" s="3" t="s">
        <v>3554</v>
      </c>
      <c r="C1883" s="2"/>
      <c r="D1883" s="2" t="s">
        <v>16</v>
      </c>
      <c r="E1883" s="4">
        <f>731.25*(1-Z1%)</f>
        <v>731.25</v>
      </c>
      <c r="F1883" s="2">
        <v>12</v>
      </c>
      <c r="G1883" s="2"/>
    </row>
    <row r="1884" spans="1:26" customHeight="1" ht="36" hidden="true" outlineLevel="3">
      <c r="A1884" s="2" t="s">
        <v>3555</v>
      </c>
      <c r="B1884" s="3" t="s">
        <v>3556</v>
      </c>
      <c r="C1884" s="2"/>
      <c r="D1884" s="2" t="s">
        <v>16</v>
      </c>
      <c r="E1884" s="4">
        <f>337.50*(1-Z1%)</f>
        <v>337.5</v>
      </c>
      <c r="F1884" s="2">
        <v>5</v>
      </c>
      <c r="G1884" s="2"/>
    </row>
    <row r="1885" spans="1:26" customHeight="1" ht="18" hidden="true" outlineLevel="3">
      <c r="A1885" s="2" t="s">
        <v>3557</v>
      </c>
      <c r="B1885" s="3" t="s">
        <v>3558</v>
      </c>
      <c r="C1885" s="2"/>
      <c r="D1885" s="2" t="s">
        <v>16</v>
      </c>
      <c r="E1885" s="4">
        <f>326.25*(1-Z1%)</f>
        <v>326.25</v>
      </c>
      <c r="F1885" s="2">
        <v>6</v>
      </c>
      <c r="G1885" s="2"/>
    </row>
    <row r="1886" spans="1:26" customHeight="1" ht="35" hidden="true" outlineLevel="3">
      <c r="A1886" s="5" t="s">
        <v>3559</v>
      </c>
      <c r="B1886" s="5"/>
      <c r="C1886" s="5"/>
      <c r="D1886" s="5"/>
      <c r="E1886" s="5"/>
      <c r="F1886" s="5"/>
      <c r="G1886" s="5"/>
    </row>
    <row r="1887" spans="1:26" customHeight="1" ht="36" hidden="true" outlineLevel="3">
      <c r="A1887" s="2" t="s">
        <v>3560</v>
      </c>
      <c r="B1887" s="3" t="s">
        <v>3561</v>
      </c>
      <c r="C1887" s="2"/>
      <c r="D1887" s="2" t="s">
        <v>16</v>
      </c>
      <c r="E1887" s="4">
        <f>1856.70*(1-Z1%)</f>
        <v>1856.7</v>
      </c>
      <c r="F1887" s="2">
        <v>4</v>
      </c>
      <c r="G1887" s="2"/>
    </row>
    <row r="1888" spans="1:26" customHeight="1" ht="36" hidden="true" outlineLevel="3">
      <c r="A1888" s="2" t="s">
        <v>3562</v>
      </c>
      <c r="B1888" s="3" t="s">
        <v>3563</v>
      </c>
      <c r="C1888" s="2"/>
      <c r="D1888" s="2" t="s">
        <v>16</v>
      </c>
      <c r="E1888" s="4">
        <f>1609.20*(1-Z1%)</f>
        <v>1609.2</v>
      </c>
      <c r="F1888" s="2">
        <v>4</v>
      </c>
      <c r="G1888" s="2"/>
    </row>
    <row r="1889" spans="1:26" customHeight="1" ht="35" hidden="true" outlineLevel="3">
      <c r="A1889" s="5" t="s">
        <v>3564</v>
      </c>
      <c r="B1889" s="5"/>
      <c r="C1889" s="5"/>
      <c r="D1889" s="5"/>
      <c r="E1889" s="5"/>
      <c r="F1889" s="5"/>
      <c r="G1889" s="5"/>
    </row>
    <row r="1890" spans="1:26" customHeight="1" ht="36" hidden="true" outlineLevel="3">
      <c r="A1890" s="2" t="s">
        <v>3565</v>
      </c>
      <c r="B1890" s="3" t="s">
        <v>3566</v>
      </c>
      <c r="C1890" s="2"/>
      <c r="D1890" s="2" t="s">
        <v>16</v>
      </c>
      <c r="E1890" s="4">
        <f>1237.50*(1-Z1%)</f>
        <v>1237.5</v>
      </c>
      <c r="F1890" s="2">
        <v>8</v>
      </c>
      <c r="G1890" s="2"/>
    </row>
    <row r="1891" spans="1:26" customHeight="1" ht="35" hidden="true" outlineLevel="3">
      <c r="A1891" s="5" t="s">
        <v>3567</v>
      </c>
      <c r="B1891" s="5"/>
      <c r="C1891" s="5"/>
      <c r="D1891" s="5"/>
      <c r="E1891" s="5"/>
      <c r="F1891" s="5"/>
      <c r="G1891" s="5"/>
    </row>
    <row r="1892" spans="1:26" customHeight="1" ht="18" hidden="true" outlineLevel="3">
      <c r="A1892" s="2" t="s">
        <v>3568</v>
      </c>
      <c r="B1892" s="3" t="s">
        <v>3569</v>
      </c>
      <c r="C1892" s="2"/>
      <c r="D1892" s="2" t="s">
        <v>16</v>
      </c>
      <c r="E1892" s="4">
        <f>990.00*(1-Z1%)</f>
        <v>990</v>
      </c>
      <c r="F1892" s="2">
        <v>21</v>
      </c>
      <c r="G1892" s="2"/>
    </row>
    <row r="1893" spans="1:26" customHeight="1" ht="36" hidden="true" outlineLevel="3">
      <c r="A1893" s="2" t="s">
        <v>3570</v>
      </c>
      <c r="B1893" s="3" t="s">
        <v>3571</v>
      </c>
      <c r="C1893" s="2"/>
      <c r="D1893" s="2" t="s">
        <v>16</v>
      </c>
      <c r="E1893" s="4">
        <f>2722.50*(1-Z1%)</f>
        <v>2722.5</v>
      </c>
      <c r="F1893" s="2">
        <v>1</v>
      </c>
      <c r="G1893" s="2"/>
    </row>
    <row r="1894" spans="1:26" customHeight="1" ht="36" hidden="true" outlineLevel="3">
      <c r="A1894" s="2" t="s">
        <v>3572</v>
      </c>
      <c r="B1894" s="3" t="s">
        <v>3573</v>
      </c>
      <c r="C1894" s="2"/>
      <c r="D1894" s="2" t="s">
        <v>16</v>
      </c>
      <c r="E1894" s="4">
        <f>1732.50*(1-Z1%)</f>
        <v>1732.5</v>
      </c>
      <c r="F1894" s="2">
        <v>2</v>
      </c>
      <c r="G1894" s="2"/>
    </row>
    <row r="1895" spans="1:26" customHeight="1" ht="36" hidden="true" outlineLevel="3">
      <c r="A1895" s="2" t="s">
        <v>3574</v>
      </c>
      <c r="B1895" s="3" t="s">
        <v>3575</v>
      </c>
      <c r="C1895" s="2"/>
      <c r="D1895" s="2" t="s">
        <v>16</v>
      </c>
      <c r="E1895" s="4">
        <f>1980.00*(1-Z1%)</f>
        <v>1980</v>
      </c>
      <c r="F1895" s="2">
        <v>4</v>
      </c>
      <c r="G1895" s="2"/>
    </row>
    <row r="1896" spans="1:26" customHeight="1" ht="18" hidden="true" outlineLevel="3">
      <c r="A1896" s="2" t="s">
        <v>3576</v>
      </c>
      <c r="B1896" s="3" t="s">
        <v>3577</v>
      </c>
      <c r="C1896" s="2"/>
      <c r="D1896" s="2" t="s">
        <v>16</v>
      </c>
      <c r="E1896" s="4">
        <f>1732.50*(1-Z1%)</f>
        <v>1732.5</v>
      </c>
      <c r="F1896" s="2">
        <v>6</v>
      </c>
      <c r="G1896" s="2"/>
    </row>
    <row r="1897" spans="1:26" customHeight="1" ht="18" hidden="true" outlineLevel="3">
      <c r="A1897" s="2" t="s">
        <v>3578</v>
      </c>
      <c r="B1897" s="3" t="s">
        <v>3579</v>
      </c>
      <c r="C1897" s="2"/>
      <c r="D1897" s="2" t="s">
        <v>16</v>
      </c>
      <c r="E1897" s="4">
        <f>1237.50*(1-Z1%)</f>
        <v>1237.5</v>
      </c>
      <c r="F1897" s="2">
        <v>6</v>
      </c>
      <c r="G1897" s="2"/>
    </row>
    <row r="1898" spans="1:26" customHeight="1" ht="36" hidden="true" outlineLevel="3">
      <c r="A1898" s="2" t="s">
        <v>3580</v>
      </c>
      <c r="B1898" s="3" t="s">
        <v>3581</v>
      </c>
      <c r="C1898" s="2"/>
      <c r="D1898" s="2" t="s">
        <v>16</v>
      </c>
      <c r="E1898" s="4">
        <f>1980.00*(1-Z1%)</f>
        <v>1980</v>
      </c>
      <c r="F1898" s="2">
        <v>6</v>
      </c>
      <c r="G1898" s="2"/>
    </row>
    <row r="1899" spans="1:26" customHeight="1" ht="36" hidden="true" outlineLevel="3">
      <c r="A1899" s="2" t="s">
        <v>3582</v>
      </c>
      <c r="B1899" s="3" t="s">
        <v>3583</v>
      </c>
      <c r="C1899" s="2"/>
      <c r="D1899" s="2" t="s">
        <v>16</v>
      </c>
      <c r="E1899" s="4">
        <f>1732.50*(1-Z1%)</f>
        <v>1732.5</v>
      </c>
      <c r="F1899" s="2">
        <v>8</v>
      </c>
      <c r="G1899" s="2"/>
    </row>
    <row r="1900" spans="1:26" customHeight="1" ht="35" hidden="true" outlineLevel="3">
      <c r="A1900" s="5" t="s">
        <v>3584</v>
      </c>
      <c r="B1900" s="5"/>
      <c r="C1900" s="5"/>
      <c r="D1900" s="5"/>
      <c r="E1900" s="5"/>
      <c r="F1900" s="5"/>
      <c r="G1900" s="5"/>
    </row>
    <row r="1901" spans="1:26" customHeight="1" ht="36" hidden="true" outlineLevel="3">
      <c r="A1901" s="2" t="s">
        <v>3585</v>
      </c>
      <c r="B1901" s="3" t="s">
        <v>3586</v>
      </c>
      <c r="C1901" s="2"/>
      <c r="D1901" s="2" t="s">
        <v>16</v>
      </c>
      <c r="E1901" s="4">
        <f>210.38*(1-Z1%)</f>
        <v>210.38</v>
      </c>
      <c r="F1901" s="2">
        <v>19</v>
      </c>
      <c r="G1901" s="2"/>
    </row>
    <row r="1902" spans="1:26" customHeight="1" ht="36" hidden="true" outlineLevel="3">
      <c r="A1902" s="2" t="s">
        <v>3587</v>
      </c>
      <c r="B1902" s="3" t="s">
        <v>3588</v>
      </c>
      <c r="C1902" s="2"/>
      <c r="D1902" s="2" t="s">
        <v>16</v>
      </c>
      <c r="E1902" s="4">
        <f>309.38*(1-Z1%)</f>
        <v>309.38</v>
      </c>
      <c r="F1902" s="2">
        <v>19</v>
      </c>
      <c r="G1902" s="2"/>
    </row>
    <row r="1903" spans="1:26" customHeight="1" ht="18" hidden="true" outlineLevel="3">
      <c r="A1903" s="2" t="s">
        <v>3589</v>
      </c>
      <c r="B1903" s="3" t="s">
        <v>3590</v>
      </c>
      <c r="C1903" s="2"/>
      <c r="D1903" s="2" t="s">
        <v>16</v>
      </c>
      <c r="E1903" s="4">
        <f>74.25*(1-Z1%)</f>
        <v>74.25</v>
      </c>
      <c r="F1903" s="2">
        <v>19</v>
      </c>
      <c r="G1903" s="2"/>
    </row>
    <row r="1904" spans="1:26" customHeight="1" ht="18" hidden="true" outlineLevel="3">
      <c r="A1904" s="2" t="s">
        <v>3591</v>
      </c>
      <c r="B1904" s="3" t="s">
        <v>3592</v>
      </c>
      <c r="C1904" s="2"/>
      <c r="D1904" s="2" t="s">
        <v>16</v>
      </c>
      <c r="E1904" s="4">
        <f>99.00*(1-Z1%)</f>
        <v>99</v>
      </c>
      <c r="F1904" s="2">
        <v>19</v>
      </c>
      <c r="G1904" s="2"/>
    </row>
    <row r="1905" spans="1:26" customHeight="1" ht="36" hidden="true" outlineLevel="3">
      <c r="A1905" s="2" t="s">
        <v>3593</v>
      </c>
      <c r="B1905" s="3" t="s">
        <v>3594</v>
      </c>
      <c r="C1905" s="2"/>
      <c r="D1905" s="2" t="s">
        <v>16</v>
      </c>
      <c r="E1905" s="4">
        <f>123.75*(1-Z1%)</f>
        <v>123.75</v>
      </c>
      <c r="F1905" s="2">
        <v>16</v>
      </c>
      <c r="G1905" s="2"/>
    </row>
    <row r="1906" spans="1:26" customHeight="1" ht="18" hidden="true" outlineLevel="3">
      <c r="A1906" s="2" t="s">
        <v>3595</v>
      </c>
      <c r="B1906" s="3" t="s">
        <v>3596</v>
      </c>
      <c r="C1906" s="2"/>
      <c r="D1906" s="2" t="s">
        <v>16</v>
      </c>
      <c r="E1906" s="4">
        <f>160.88*(1-Z1%)</f>
        <v>160.88</v>
      </c>
      <c r="F1906" s="2">
        <v>17</v>
      </c>
      <c r="G1906" s="2"/>
    </row>
    <row r="1907" spans="1:26" customHeight="1" ht="36" hidden="true" outlineLevel="3">
      <c r="A1907" s="2" t="s">
        <v>3597</v>
      </c>
      <c r="B1907" s="3" t="s">
        <v>3598</v>
      </c>
      <c r="C1907" s="2"/>
      <c r="D1907" s="2" t="s">
        <v>16</v>
      </c>
      <c r="E1907" s="4">
        <f>321.75*(1-Z1%)</f>
        <v>321.75</v>
      </c>
      <c r="F1907" s="2">
        <v>10</v>
      </c>
      <c r="G1907" s="2"/>
    </row>
    <row r="1908" spans="1:26" customHeight="1" ht="36" hidden="true" outlineLevel="3">
      <c r="A1908" s="2" t="s">
        <v>3599</v>
      </c>
      <c r="B1908" s="3" t="s">
        <v>3600</v>
      </c>
      <c r="C1908" s="2"/>
      <c r="D1908" s="2" t="s">
        <v>16</v>
      </c>
      <c r="E1908" s="4">
        <f>321.75*(1-Z1%)</f>
        <v>321.75</v>
      </c>
      <c r="F1908" s="2">
        <v>10</v>
      </c>
      <c r="G1908" s="2"/>
    </row>
    <row r="1909" spans="1:26" customHeight="1" ht="35" hidden="true" outlineLevel="3">
      <c r="A1909" s="5" t="s">
        <v>3601</v>
      </c>
      <c r="B1909" s="5"/>
      <c r="C1909" s="5"/>
      <c r="D1909" s="5"/>
      <c r="E1909" s="5"/>
      <c r="F1909" s="5"/>
      <c r="G1909" s="5"/>
    </row>
    <row r="1910" spans="1:26" customHeight="1" ht="36" hidden="true" outlineLevel="3">
      <c r="A1910" s="2" t="s">
        <v>3602</v>
      </c>
      <c r="B1910" s="3" t="s">
        <v>3603</v>
      </c>
      <c r="C1910" s="2"/>
      <c r="D1910" s="2" t="s">
        <v>16</v>
      </c>
      <c r="E1910" s="4">
        <f>284.63*(1-Z1%)</f>
        <v>284.63</v>
      </c>
      <c r="F1910" s="2">
        <v>5</v>
      </c>
      <c r="G1910" s="2"/>
    </row>
    <row r="1911" spans="1:26" customHeight="1" ht="36" hidden="true" outlineLevel="3">
      <c r="A1911" s="2" t="s">
        <v>3604</v>
      </c>
      <c r="B1911" s="3" t="s">
        <v>3605</v>
      </c>
      <c r="C1911" s="2"/>
      <c r="D1911" s="2" t="s">
        <v>16</v>
      </c>
      <c r="E1911" s="4">
        <f>284.63*(1-Z1%)</f>
        <v>284.63</v>
      </c>
      <c r="F1911" s="2">
        <v>6</v>
      </c>
      <c r="G1911" s="2"/>
    </row>
    <row r="1912" spans="1:26" customHeight="1" ht="18" hidden="true" outlineLevel="3">
      <c r="A1912" s="2" t="s">
        <v>3606</v>
      </c>
      <c r="B1912" s="3" t="s">
        <v>3607</v>
      </c>
      <c r="C1912" s="2"/>
      <c r="D1912" s="2" t="s">
        <v>16</v>
      </c>
      <c r="E1912" s="4">
        <f>990.00*(1-Z1%)</f>
        <v>990</v>
      </c>
      <c r="F1912" s="2">
        <v>1</v>
      </c>
      <c r="G1912" s="2"/>
    </row>
    <row r="1913" spans="1:26" customHeight="1" ht="18" hidden="true" outlineLevel="3">
      <c r="A1913" s="2" t="s">
        <v>3608</v>
      </c>
      <c r="B1913" s="3" t="s">
        <v>3609</v>
      </c>
      <c r="C1913" s="2"/>
      <c r="D1913" s="2" t="s">
        <v>16</v>
      </c>
      <c r="E1913" s="4">
        <f>1175.63*(1-Z1%)</f>
        <v>1175.63</v>
      </c>
      <c r="F1913" s="2">
        <v>2</v>
      </c>
      <c r="G1913" s="2"/>
    </row>
    <row r="1914" spans="1:26" customHeight="1" ht="36" hidden="true" outlineLevel="3">
      <c r="A1914" s="2" t="s">
        <v>3610</v>
      </c>
      <c r="B1914" s="3" t="s">
        <v>3611</v>
      </c>
      <c r="C1914" s="2"/>
      <c r="D1914" s="2" t="s">
        <v>16</v>
      </c>
      <c r="E1914" s="4">
        <f>408.38*(1-Z1%)</f>
        <v>408.38</v>
      </c>
      <c r="F1914" s="2">
        <v>17</v>
      </c>
      <c r="G1914" s="2"/>
    </row>
    <row r="1915" spans="1:26" customHeight="1" ht="36" hidden="true" outlineLevel="3">
      <c r="A1915" s="2" t="s">
        <v>3612</v>
      </c>
      <c r="B1915" s="3" t="s">
        <v>3613</v>
      </c>
      <c r="C1915" s="2"/>
      <c r="D1915" s="2" t="s">
        <v>16</v>
      </c>
      <c r="E1915" s="4">
        <f>853.88*(1-Z1%)</f>
        <v>853.88</v>
      </c>
      <c r="F1915" s="2">
        <v>11</v>
      </c>
      <c r="G1915" s="2"/>
    </row>
    <row r="1916" spans="1:26" customHeight="1" ht="36" hidden="true" outlineLevel="3">
      <c r="A1916" s="2" t="s">
        <v>3614</v>
      </c>
      <c r="B1916" s="3" t="s">
        <v>3615</v>
      </c>
      <c r="C1916" s="2"/>
      <c r="D1916" s="2" t="s">
        <v>16</v>
      </c>
      <c r="E1916" s="4">
        <f>1361.25*(1-Z1%)</f>
        <v>1361.25</v>
      </c>
      <c r="F1916" s="2">
        <v>11</v>
      </c>
      <c r="G1916" s="2"/>
    </row>
    <row r="1917" spans="1:26" customHeight="1" ht="18" hidden="true" outlineLevel="3">
      <c r="A1917" s="2" t="s">
        <v>3616</v>
      </c>
      <c r="B1917" s="3" t="s">
        <v>3617</v>
      </c>
      <c r="C1917" s="2"/>
      <c r="D1917" s="2" t="s">
        <v>16</v>
      </c>
      <c r="E1917" s="4">
        <f>495.00*(1-Z1%)</f>
        <v>495</v>
      </c>
      <c r="F1917" s="2">
        <v>2</v>
      </c>
      <c r="G1917" s="2"/>
    </row>
    <row r="1918" spans="1:26" customHeight="1" ht="36" hidden="true" outlineLevel="3">
      <c r="A1918" s="2" t="s">
        <v>3618</v>
      </c>
      <c r="B1918" s="3" t="s">
        <v>3619</v>
      </c>
      <c r="C1918" s="2"/>
      <c r="D1918" s="2" t="s">
        <v>16</v>
      </c>
      <c r="E1918" s="4">
        <f>495.00*(1-Z1%)</f>
        <v>495</v>
      </c>
      <c r="F1918" s="2">
        <v>8</v>
      </c>
      <c r="G1918" s="2"/>
    </row>
    <row r="1919" spans="1:26" customHeight="1" ht="35" hidden="true" outlineLevel="3">
      <c r="A1919" s="5" t="s">
        <v>3620</v>
      </c>
      <c r="B1919" s="5"/>
      <c r="C1919" s="5"/>
      <c r="D1919" s="5"/>
      <c r="E1919" s="5"/>
      <c r="F1919" s="5"/>
      <c r="G1919" s="5"/>
    </row>
    <row r="1920" spans="1:26" customHeight="1" ht="18" hidden="true" outlineLevel="3">
      <c r="A1920" s="2" t="s">
        <v>3621</v>
      </c>
      <c r="B1920" s="3" t="s">
        <v>3622</v>
      </c>
      <c r="C1920" s="2"/>
      <c r="D1920" s="2" t="s">
        <v>16</v>
      </c>
      <c r="E1920" s="4">
        <f>24.75*(1-Z1%)</f>
        <v>24.75</v>
      </c>
      <c r="F1920" s="2">
        <v>72</v>
      </c>
      <c r="G1920" s="2"/>
    </row>
    <row r="1921" spans="1:26" customHeight="1" ht="18" hidden="true" outlineLevel="3">
      <c r="A1921" s="2" t="s">
        <v>3623</v>
      </c>
      <c r="B1921" s="3" t="s">
        <v>3624</v>
      </c>
      <c r="C1921" s="2"/>
      <c r="D1921" s="2" t="s">
        <v>16</v>
      </c>
      <c r="E1921" s="4">
        <f>24.75*(1-Z1%)</f>
        <v>24.75</v>
      </c>
      <c r="F1921" s="2">
        <v>72</v>
      </c>
      <c r="G1921" s="2"/>
    </row>
    <row r="1922" spans="1:26" customHeight="1" ht="18" hidden="true" outlineLevel="3">
      <c r="A1922" s="2" t="s">
        <v>3625</v>
      </c>
      <c r="B1922" s="3" t="s">
        <v>3626</v>
      </c>
      <c r="C1922" s="2"/>
      <c r="D1922" s="2" t="s">
        <v>16</v>
      </c>
      <c r="E1922" s="4">
        <f>24.75*(1-Z1%)</f>
        <v>24.75</v>
      </c>
      <c r="F1922" s="2">
        <v>72</v>
      </c>
      <c r="G1922" s="2"/>
    </row>
    <row r="1923" spans="1:26" customHeight="1" ht="18" hidden="true" outlineLevel="3">
      <c r="A1923" s="2" t="s">
        <v>3627</v>
      </c>
      <c r="B1923" s="3" t="s">
        <v>3628</v>
      </c>
      <c r="C1923" s="2"/>
      <c r="D1923" s="2" t="s">
        <v>16</v>
      </c>
      <c r="E1923" s="4">
        <f>30.94*(1-Z1%)</f>
        <v>30.94</v>
      </c>
      <c r="F1923" s="2">
        <v>52</v>
      </c>
      <c r="G1923" s="2"/>
    </row>
    <row r="1924" spans="1:26" customHeight="1" ht="18" hidden="true" outlineLevel="3">
      <c r="A1924" s="2" t="s">
        <v>3629</v>
      </c>
      <c r="B1924" s="3" t="s">
        <v>3630</v>
      </c>
      <c r="C1924" s="2"/>
      <c r="D1924" s="2" t="s">
        <v>16</v>
      </c>
      <c r="E1924" s="4">
        <f>30.94*(1-Z1%)</f>
        <v>30.94</v>
      </c>
      <c r="F1924" s="2">
        <v>56</v>
      </c>
      <c r="G1924" s="2"/>
    </row>
    <row r="1925" spans="1:26" customHeight="1" ht="18" hidden="true" outlineLevel="3">
      <c r="A1925" s="2" t="s">
        <v>3631</v>
      </c>
      <c r="B1925" s="3" t="s">
        <v>3632</v>
      </c>
      <c r="C1925" s="2"/>
      <c r="D1925" s="2" t="s">
        <v>16</v>
      </c>
      <c r="E1925" s="4">
        <f>30.94*(1-Z1%)</f>
        <v>30.94</v>
      </c>
      <c r="F1925" s="2">
        <v>56</v>
      </c>
      <c r="G1925" s="2"/>
    </row>
    <row r="1926" spans="1:26" customHeight="1" ht="18" hidden="true" outlineLevel="3">
      <c r="A1926" s="2" t="s">
        <v>3633</v>
      </c>
      <c r="B1926" s="3" t="s">
        <v>3634</v>
      </c>
      <c r="C1926" s="2"/>
      <c r="D1926" s="2" t="s">
        <v>16</v>
      </c>
      <c r="E1926" s="4">
        <f>37.13*(1-Z1%)</f>
        <v>37.13</v>
      </c>
      <c r="F1926" s="2">
        <v>72</v>
      </c>
      <c r="G1926" s="2"/>
    </row>
    <row r="1927" spans="1:26" customHeight="1" ht="18" hidden="true" outlineLevel="3">
      <c r="A1927" s="2" t="s">
        <v>3635</v>
      </c>
      <c r="B1927" s="3" t="s">
        <v>3636</v>
      </c>
      <c r="C1927" s="2"/>
      <c r="D1927" s="2" t="s">
        <v>16</v>
      </c>
      <c r="E1927" s="4">
        <f>37.13*(1-Z1%)</f>
        <v>37.13</v>
      </c>
      <c r="F1927" s="2">
        <v>72</v>
      </c>
      <c r="G1927" s="2"/>
    </row>
    <row r="1928" spans="1:26" customHeight="1" ht="18" hidden="true" outlineLevel="3">
      <c r="A1928" s="2" t="s">
        <v>3637</v>
      </c>
      <c r="B1928" s="3" t="s">
        <v>3638</v>
      </c>
      <c r="C1928" s="2"/>
      <c r="D1928" s="2" t="s">
        <v>16</v>
      </c>
      <c r="E1928" s="4">
        <f>37.13*(1-Z1%)</f>
        <v>37.13</v>
      </c>
      <c r="F1928" s="2">
        <v>72</v>
      </c>
      <c r="G1928" s="2"/>
    </row>
    <row r="1929" spans="1:26" customHeight="1" ht="18" hidden="true" outlineLevel="3">
      <c r="A1929" s="2" t="s">
        <v>3639</v>
      </c>
      <c r="B1929" s="3" t="s">
        <v>3640</v>
      </c>
      <c r="C1929" s="2"/>
      <c r="D1929" s="2" t="s">
        <v>16</v>
      </c>
      <c r="E1929" s="4">
        <f>177.19*(1-Z1%)</f>
        <v>177.19</v>
      </c>
      <c r="F1929" s="2">
        <v>36</v>
      </c>
      <c r="G1929" s="2"/>
    </row>
    <row r="1930" spans="1:26" customHeight="1" ht="18" hidden="true" outlineLevel="3">
      <c r="A1930" s="2" t="s">
        <v>3641</v>
      </c>
      <c r="B1930" s="3" t="s">
        <v>3642</v>
      </c>
      <c r="C1930" s="2"/>
      <c r="D1930" s="2" t="s">
        <v>16</v>
      </c>
      <c r="E1930" s="4">
        <f>205.32*(1-Z1%)</f>
        <v>205.32</v>
      </c>
      <c r="F1930" s="2">
        <v>32</v>
      </c>
      <c r="G1930" s="2"/>
    </row>
    <row r="1931" spans="1:26" customHeight="1" ht="36" hidden="true" outlineLevel="3">
      <c r="A1931" s="2" t="s">
        <v>3643</v>
      </c>
      <c r="B1931" s="3" t="s">
        <v>3644</v>
      </c>
      <c r="C1931" s="2"/>
      <c r="D1931" s="2" t="s">
        <v>16</v>
      </c>
      <c r="E1931" s="4">
        <f>731.25*(1-Z1%)</f>
        <v>731.25</v>
      </c>
      <c r="F1931" s="2">
        <v>13</v>
      </c>
      <c r="G1931" s="2"/>
    </row>
    <row r="1932" spans="1:26" customHeight="1" ht="36" hidden="true" outlineLevel="3">
      <c r="A1932" s="2" t="s">
        <v>3645</v>
      </c>
      <c r="B1932" s="3" t="s">
        <v>3646</v>
      </c>
      <c r="C1932" s="2"/>
      <c r="D1932" s="2" t="s">
        <v>16</v>
      </c>
      <c r="E1932" s="4">
        <f>731.25*(1-Z1%)</f>
        <v>731.25</v>
      </c>
      <c r="F1932" s="2">
        <v>9</v>
      </c>
      <c r="G1932" s="2"/>
    </row>
    <row r="1933" spans="1:26" customHeight="1" ht="36" hidden="true" outlineLevel="3">
      <c r="A1933" s="2" t="s">
        <v>3647</v>
      </c>
      <c r="B1933" s="3" t="s">
        <v>3648</v>
      </c>
      <c r="C1933" s="2"/>
      <c r="D1933" s="2" t="s">
        <v>16</v>
      </c>
      <c r="E1933" s="4">
        <f>731.25*(1-Z1%)</f>
        <v>731.25</v>
      </c>
      <c r="F1933" s="2">
        <v>7</v>
      </c>
      <c r="G1933" s="2"/>
    </row>
    <row r="1934" spans="1:26" customHeight="1" ht="36" hidden="true" outlineLevel="3">
      <c r="A1934" s="2" t="s">
        <v>3649</v>
      </c>
      <c r="B1934" s="3" t="s">
        <v>3650</v>
      </c>
      <c r="C1934" s="2"/>
      <c r="D1934" s="2" t="s">
        <v>16</v>
      </c>
      <c r="E1934" s="4">
        <f>787.50*(1-Z1%)</f>
        <v>787.5</v>
      </c>
      <c r="F1934" s="2">
        <v>5</v>
      </c>
      <c r="G1934" s="2"/>
    </row>
    <row r="1935" spans="1:26" customHeight="1" ht="18" hidden="true" outlineLevel="3">
      <c r="A1935" s="2" t="s">
        <v>3651</v>
      </c>
      <c r="B1935" s="3" t="s">
        <v>3652</v>
      </c>
      <c r="C1935" s="2"/>
      <c r="D1935" s="2" t="s">
        <v>16</v>
      </c>
      <c r="E1935" s="4">
        <f>99.00*(1-Z1%)</f>
        <v>99</v>
      </c>
      <c r="F1935" s="2">
        <v>64</v>
      </c>
      <c r="G1935" s="2"/>
    </row>
    <row r="1936" spans="1:26" customHeight="1" ht="35" hidden="true" outlineLevel="2">
      <c r="A1936" s="5" t="s">
        <v>437</v>
      </c>
      <c r="B1936" s="5"/>
      <c r="C1936" s="5"/>
      <c r="D1936" s="5"/>
      <c r="E1936" s="5"/>
      <c r="F1936" s="5"/>
      <c r="G1936" s="5"/>
    </row>
    <row r="1937" spans="1:26" customHeight="1" ht="35" hidden="true" outlineLevel="3">
      <c r="A1937" s="5" t="s">
        <v>3653</v>
      </c>
      <c r="B1937" s="5"/>
      <c r="C1937" s="5"/>
      <c r="D1937" s="5"/>
      <c r="E1937" s="5"/>
      <c r="F1937" s="5"/>
      <c r="G1937" s="5"/>
    </row>
    <row r="1938" spans="1:26" customHeight="1" ht="18" hidden="true" outlineLevel="3">
      <c r="A1938" s="2" t="s">
        <v>3654</v>
      </c>
      <c r="B1938" s="3" t="s">
        <v>3655</v>
      </c>
      <c r="C1938" s="2"/>
      <c r="D1938" s="2" t="s">
        <v>16</v>
      </c>
      <c r="E1938" s="4">
        <f>10379.70*(1-Z1%)</f>
        <v>10379.7</v>
      </c>
      <c r="F1938" s="2">
        <v>2</v>
      </c>
      <c r="G1938" s="2"/>
    </row>
    <row r="1939" spans="1:26" customHeight="1" ht="18" hidden="true" outlineLevel="3">
      <c r="A1939" s="2" t="s">
        <v>3656</v>
      </c>
      <c r="B1939" s="3" t="s">
        <v>3657</v>
      </c>
      <c r="C1939" s="2"/>
      <c r="D1939" s="2" t="s">
        <v>16</v>
      </c>
      <c r="E1939" s="4">
        <f>10614.72*(1-Z1%)</f>
        <v>10614.72</v>
      </c>
      <c r="F1939" s="2">
        <v>1</v>
      </c>
      <c r="G1939" s="2"/>
    </row>
    <row r="1940" spans="1:26" customHeight="1" ht="18" hidden="true" outlineLevel="3">
      <c r="A1940" s="2" t="s">
        <v>3658</v>
      </c>
      <c r="B1940" s="3" t="s">
        <v>3659</v>
      </c>
      <c r="C1940" s="2"/>
      <c r="D1940" s="2" t="s">
        <v>16</v>
      </c>
      <c r="E1940" s="4">
        <f>10101.36*(1-Z1%)</f>
        <v>10101.36</v>
      </c>
      <c r="F1940" s="2">
        <v>1</v>
      </c>
      <c r="G1940" s="2"/>
    </row>
    <row r="1941" spans="1:26" customHeight="1" ht="18" hidden="true" outlineLevel="3">
      <c r="A1941" s="2" t="s">
        <v>3660</v>
      </c>
      <c r="B1941" s="3" t="s">
        <v>3661</v>
      </c>
      <c r="C1941" s="2"/>
      <c r="D1941" s="2" t="s">
        <v>16</v>
      </c>
      <c r="E1941" s="4">
        <f>3878.22*(1-Z1%)</f>
        <v>3878.22</v>
      </c>
      <c r="F1941" s="2">
        <v>1</v>
      </c>
      <c r="G1941" s="2"/>
    </row>
    <row r="1942" spans="1:26" customHeight="1" ht="36" hidden="true" outlineLevel="3">
      <c r="A1942" s="2" t="s">
        <v>3662</v>
      </c>
      <c r="B1942" s="3" t="s">
        <v>3663</v>
      </c>
      <c r="C1942" s="2"/>
      <c r="D1942" s="2" t="s">
        <v>16</v>
      </c>
      <c r="E1942" s="4">
        <f>11291.38*(1-Z1%)</f>
        <v>11291.38</v>
      </c>
      <c r="F1942" s="2">
        <v>2</v>
      </c>
      <c r="G1942" s="2"/>
    </row>
    <row r="1943" spans="1:26" customHeight="1" ht="36" hidden="true" outlineLevel="3">
      <c r="A1943" s="2" t="s">
        <v>3664</v>
      </c>
      <c r="B1943" s="3" t="s">
        <v>3665</v>
      </c>
      <c r="C1943" s="2"/>
      <c r="D1943" s="2" t="s">
        <v>16</v>
      </c>
      <c r="E1943" s="4">
        <f>6768.01*(1-Z1%)</f>
        <v>6768.01</v>
      </c>
      <c r="F1943" s="2">
        <v>6</v>
      </c>
      <c r="G1943" s="2"/>
    </row>
    <row r="1944" spans="1:26" customHeight="1" ht="36" hidden="true" outlineLevel="3">
      <c r="A1944" s="2" t="s">
        <v>3666</v>
      </c>
      <c r="B1944" s="3" t="s">
        <v>3667</v>
      </c>
      <c r="C1944" s="2"/>
      <c r="D1944" s="2" t="s">
        <v>16</v>
      </c>
      <c r="E1944" s="4">
        <f>7303.01*(1-Z1%)</f>
        <v>7303.01</v>
      </c>
      <c r="F1944" s="2">
        <v>6</v>
      </c>
      <c r="G1944" s="2"/>
    </row>
    <row r="1945" spans="1:26" customHeight="1" ht="36" hidden="true" outlineLevel="3">
      <c r="A1945" s="2" t="s">
        <v>3668</v>
      </c>
      <c r="B1945" s="3" t="s">
        <v>3669</v>
      </c>
      <c r="C1945" s="2"/>
      <c r="D1945" s="2" t="s">
        <v>16</v>
      </c>
      <c r="E1945" s="4">
        <f>10866.41*(1-Z1%)</f>
        <v>10866.41</v>
      </c>
      <c r="F1945" s="2">
        <v>1</v>
      </c>
      <c r="G1945" s="2"/>
    </row>
    <row r="1946" spans="1:26" customHeight="1" ht="36" hidden="true" outlineLevel="3">
      <c r="A1946" s="2" t="s">
        <v>3670</v>
      </c>
      <c r="B1946" s="3" t="s">
        <v>3671</v>
      </c>
      <c r="C1946" s="2"/>
      <c r="D1946" s="2" t="s">
        <v>16</v>
      </c>
      <c r="E1946" s="4">
        <f>9250.47*(1-Z1%)</f>
        <v>9250.47</v>
      </c>
      <c r="F1946" s="2">
        <v>6</v>
      </c>
      <c r="G1946" s="2"/>
    </row>
    <row r="1947" spans="1:26" customHeight="1" ht="36" hidden="true" outlineLevel="3">
      <c r="A1947" s="2" t="s">
        <v>3672</v>
      </c>
      <c r="B1947" s="3" t="s">
        <v>3673</v>
      </c>
      <c r="C1947" s="2"/>
      <c r="D1947" s="2" t="s">
        <v>16</v>
      </c>
      <c r="E1947" s="4">
        <f>4018.62*(1-Z1%)</f>
        <v>4018.62</v>
      </c>
      <c r="F1947" s="2">
        <v>1</v>
      </c>
      <c r="G1947" s="2"/>
    </row>
    <row r="1948" spans="1:26" customHeight="1" ht="18" hidden="true" outlineLevel="3">
      <c r="A1948" s="2" t="s">
        <v>3674</v>
      </c>
      <c r="B1948" s="3" t="s">
        <v>3675</v>
      </c>
      <c r="C1948" s="2"/>
      <c r="D1948" s="2" t="s">
        <v>16</v>
      </c>
      <c r="E1948" s="4">
        <f>5120.42*(1-Z1%)</f>
        <v>5120.42</v>
      </c>
      <c r="F1948" s="2">
        <v>4</v>
      </c>
      <c r="G1948" s="2"/>
    </row>
    <row r="1949" spans="1:26" customHeight="1" ht="18" hidden="true" outlineLevel="3">
      <c r="A1949" s="2" t="s">
        <v>3676</v>
      </c>
      <c r="B1949" s="3" t="s">
        <v>3677</v>
      </c>
      <c r="C1949" s="2"/>
      <c r="D1949" s="2" t="s">
        <v>16</v>
      </c>
      <c r="E1949" s="4">
        <f>12359.86*(1-Z1%)</f>
        <v>12359.86</v>
      </c>
      <c r="F1949" s="2">
        <v>2</v>
      </c>
      <c r="G1949" s="2"/>
    </row>
    <row r="1950" spans="1:26" customHeight="1" ht="18" hidden="true" outlineLevel="3">
      <c r="A1950" s="2" t="s">
        <v>3678</v>
      </c>
      <c r="B1950" s="3" t="s">
        <v>3679</v>
      </c>
      <c r="C1950" s="2"/>
      <c r="D1950" s="2" t="s">
        <v>16</v>
      </c>
      <c r="E1950" s="4">
        <f>5120.42*(1-Z1%)</f>
        <v>5120.42</v>
      </c>
      <c r="F1950" s="2">
        <v>5</v>
      </c>
      <c r="G1950" s="2"/>
    </row>
    <row r="1951" spans="1:26" customHeight="1" ht="36" hidden="true" outlineLevel="3">
      <c r="A1951" s="2" t="s">
        <v>3680</v>
      </c>
      <c r="B1951" s="3" t="s">
        <v>3681</v>
      </c>
      <c r="C1951" s="2"/>
      <c r="D1951" s="2" t="s">
        <v>16</v>
      </c>
      <c r="E1951" s="4">
        <f>9083.55*(1-Z1%)</f>
        <v>9083.55</v>
      </c>
      <c r="F1951" s="2">
        <v>1</v>
      </c>
      <c r="G1951" s="2"/>
    </row>
    <row r="1952" spans="1:26" customHeight="1" ht="36" hidden="true" outlineLevel="3">
      <c r="A1952" s="2" t="s">
        <v>3682</v>
      </c>
      <c r="B1952" s="3" t="s">
        <v>3683</v>
      </c>
      <c r="C1952" s="2"/>
      <c r="D1952" s="2" t="s">
        <v>16</v>
      </c>
      <c r="E1952" s="4">
        <f>9602.29*(1-Z1%)</f>
        <v>9602.29</v>
      </c>
      <c r="F1952" s="2">
        <v>1</v>
      </c>
      <c r="G1952" s="2"/>
    </row>
    <row r="1953" spans="1:26" customHeight="1" ht="18" hidden="true" outlineLevel="3">
      <c r="A1953" s="2" t="s">
        <v>3684</v>
      </c>
      <c r="B1953" s="3" t="s">
        <v>3685</v>
      </c>
      <c r="C1953" s="2"/>
      <c r="D1953" s="2" t="s">
        <v>16</v>
      </c>
      <c r="E1953" s="4">
        <f>7303.01*(1-Z1%)</f>
        <v>7303.01</v>
      </c>
      <c r="F1953" s="2">
        <v>1</v>
      </c>
      <c r="G1953" s="2"/>
    </row>
    <row r="1954" spans="1:26" customHeight="1" ht="18" hidden="true" outlineLevel="3">
      <c r="A1954" s="2" t="s">
        <v>3686</v>
      </c>
      <c r="B1954" s="3" t="s">
        <v>3687</v>
      </c>
      <c r="C1954" s="2"/>
      <c r="D1954" s="2" t="s">
        <v>16</v>
      </c>
      <c r="E1954" s="4">
        <f>9932.09*(1-Z1%)</f>
        <v>9932.09</v>
      </c>
      <c r="F1954" s="2">
        <v>2</v>
      </c>
      <c r="G1954" s="2"/>
    </row>
    <row r="1955" spans="1:26" customHeight="1" ht="18" hidden="true" outlineLevel="3">
      <c r="A1955" s="2" t="s">
        <v>3688</v>
      </c>
      <c r="B1955" s="3" t="s">
        <v>3689</v>
      </c>
      <c r="C1955" s="2"/>
      <c r="D1955" s="2" t="s">
        <v>16</v>
      </c>
      <c r="E1955" s="4">
        <f>11684.81*(1-Z1%)</f>
        <v>11684.81</v>
      </c>
      <c r="F1955" s="2">
        <v>1</v>
      </c>
      <c r="G1955" s="2"/>
    </row>
    <row r="1956" spans="1:26" customHeight="1" ht="36" hidden="true" outlineLevel="3">
      <c r="A1956" s="2" t="s">
        <v>3690</v>
      </c>
      <c r="B1956" s="3" t="s">
        <v>3691</v>
      </c>
      <c r="C1956" s="2"/>
      <c r="D1956" s="2" t="s">
        <v>16</v>
      </c>
      <c r="E1956" s="4">
        <f>9442.96*(1-Z1%)</f>
        <v>9442.96</v>
      </c>
      <c r="F1956" s="2">
        <v>3</v>
      </c>
      <c r="G1956" s="2"/>
    </row>
    <row r="1957" spans="1:26" customHeight="1" ht="35" hidden="true" outlineLevel="3">
      <c r="A1957" s="5" t="s">
        <v>3692</v>
      </c>
      <c r="B1957" s="5"/>
      <c r="C1957" s="5"/>
      <c r="D1957" s="5"/>
      <c r="E1957" s="5"/>
      <c r="F1957" s="5"/>
      <c r="G1957" s="5"/>
    </row>
    <row r="1958" spans="1:26" customHeight="1" ht="36" hidden="true" outlineLevel="3">
      <c r="A1958" s="2" t="s">
        <v>3693</v>
      </c>
      <c r="B1958" s="3" t="s">
        <v>3694</v>
      </c>
      <c r="C1958" s="2"/>
      <c r="D1958" s="2" t="s">
        <v>16</v>
      </c>
      <c r="E1958" s="4">
        <f>717.42*(1-Z1%)</f>
        <v>717.42</v>
      </c>
      <c r="F1958" s="2">
        <v>1</v>
      </c>
      <c r="G1958" s="2"/>
    </row>
    <row r="1959" spans="1:26" customHeight="1" ht="36" hidden="true" outlineLevel="3">
      <c r="A1959" s="2" t="s">
        <v>3695</v>
      </c>
      <c r="B1959" s="3" t="s">
        <v>3696</v>
      </c>
      <c r="C1959" s="2"/>
      <c r="D1959" s="2" t="s">
        <v>16</v>
      </c>
      <c r="E1959" s="4">
        <f>717.42*(1-Z1%)</f>
        <v>717.42</v>
      </c>
      <c r="F1959" s="2">
        <v>1</v>
      </c>
      <c r="G1959" s="2"/>
    </row>
    <row r="1960" spans="1:26" customHeight="1" ht="36" hidden="true" outlineLevel="3">
      <c r="A1960" s="2" t="s">
        <v>3697</v>
      </c>
      <c r="B1960" s="3" t="s">
        <v>3698</v>
      </c>
      <c r="C1960" s="2"/>
      <c r="D1960" s="2" t="s">
        <v>16</v>
      </c>
      <c r="E1960" s="4">
        <f>717.42*(1-Z1%)</f>
        <v>717.42</v>
      </c>
      <c r="F1960" s="2">
        <v>1</v>
      </c>
      <c r="G1960" s="2"/>
    </row>
    <row r="1961" spans="1:26" customHeight="1" ht="36" hidden="true" outlineLevel="3">
      <c r="A1961" s="2" t="s">
        <v>3699</v>
      </c>
      <c r="B1961" s="3" t="s">
        <v>3700</v>
      </c>
      <c r="C1961" s="2"/>
      <c r="D1961" s="2" t="s">
        <v>16</v>
      </c>
      <c r="E1961" s="4">
        <f>683.82*(1-Z1%)</f>
        <v>683.82</v>
      </c>
      <c r="F1961" s="2">
        <v>1</v>
      </c>
      <c r="G1961" s="2"/>
    </row>
    <row r="1962" spans="1:26" customHeight="1" ht="36" hidden="true" outlineLevel="3">
      <c r="A1962" s="2" t="s">
        <v>3701</v>
      </c>
      <c r="B1962" s="3" t="s">
        <v>3702</v>
      </c>
      <c r="C1962" s="2"/>
      <c r="D1962" s="2" t="s">
        <v>16</v>
      </c>
      <c r="E1962" s="4">
        <f>1021.72*(1-Z1%)</f>
        <v>1021.72</v>
      </c>
      <c r="F1962" s="2">
        <v>2</v>
      </c>
      <c r="G1962" s="2"/>
    </row>
    <row r="1963" spans="1:26" customHeight="1" ht="36" hidden="true" outlineLevel="3">
      <c r="A1963" s="2" t="s">
        <v>3703</v>
      </c>
      <c r="B1963" s="3" t="s">
        <v>3704</v>
      </c>
      <c r="C1963" s="2"/>
      <c r="D1963" s="2" t="s">
        <v>16</v>
      </c>
      <c r="E1963" s="4">
        <f>1033.42*(1-Z1%)</f>
        <v>1033.42</v>
      </c>
      <c r="F1963" s="2">
        <v>2</v>
      </c>
      <c r="G1963" s="2"/>
    </row>
    <row r="1964" spans="1:26" customHeight="1" ht="36" hidden="true" outlineLevel="3">
      <c r="A1964" s="2" t="s">
        <v>3705</v>
      </c>
      <c r="B1964" s="3" t="s">
        <v>3706</v>
      </c>
      <c r="C1964" s="2"/>
      <c r="D1964" s="2" t="s">
        <v>16</v>
      </c>
      <c r="E1964" s="4">
        <f>983.30*(1-Z1%)</f>
        <v>983.3</v>
      </c>
      <c r="F1964" s="2">
        <v>3</v>
      </c>
      <c r="G1964" s="2"/>
    </row>
    <row r="1965" spans="1:26" customHeight="1" ht="36" hidden="true" outlineLevel="3">
      <c r="A1965" s="2" t="s">
        <v>3707</v>
      </c>
      <c r="B1965" s="3" t="s">
        <v>3708</v>
      </c>
      <c r="C1965" s="2"/>
      <c r="D1965" s="2" t="s">
        <v>16</v>
      </c>
      <c r="E1965" s="4">
        <f>940.33*(1-Z1%)</f>
        <v>940.33</v>
      </c>
      <c r="F1965" s="2">
        <v>3</v>
      </c>
      <c r="G1965" s="2"/>
    </row>
    <row r="1966" spans="1:26" customHeight="1" ht="36" hidden="true" outlineLevel="3">
      <c r="A1966" s="2" t="s">
        <v>3709</v>
      </c>
      <c r="B1966" s="3" t="s">
        <v>3710</v>
      </c>
      <c r="C1966" s="2"/>
      <c r="D1966" s="2" t="s">
        <v>16</v>
      </c>
      <c r="E1966" s="4">
        <f>1033.42*(1-Z1%)</f>
        <v>1033.42</v>
      </c>
      <c r="F1966" s="2">
        <v>1</v>
      </c>
      <c r="G1966" s="2"/>
    </row>
    <row r="1967" spans="1:26" customHeight="1" ht="36" hidden="true" outlineLevel="3">
      <c r="A1967" s="2" t="s">
        <v>3711</v>
      </c>
      <c r="B1967" s="3" t="s">
        <v>3712</v>
      </c>
      <c r="C1967" s="2"/>
      <c r="D1967" s="2" t="s">
        <v>16</v>
      </c>
      <c r="E1967" s="4">
        <f>1009.01*(1-Z1%)</f>
        <v>1009.01</v>
      </c>
      <c r="F1967" s="2">
        <v>5</v>
      </c>
      <c r="G1967" s="2"/>
    </row>
    <row r="1968" spans="1:26" customHeight="1" ht="36" hidden="true" outlineLevel="3">
      <c r="A1968" s="2" t="s">
        <v>3713</v>
      </c>
      <c r="B1968" s="3" t="s">
        <v>3714</v>
      </c>
      <c r="C1968" s="2"/>
      <c r="D1968" s="2" t="s">
        <v>16</v>
      </c>
      <c r="E1968" s="4">
        <f>1009.01*(1-Z1%)</f>
        <v>1009.01</v>
      </c>
      <c r="F1968" s="2">
        <v>1</v>
      </c>
      <c r="G1968" s="2"/>
    </row>
    <row r="1969" spans="1:26" customHeight="1" ht="36" hidden="true" outlineLevel="3">
      <c r="A1969" s="2" t="s">
        <v>3715</v>
      </c>
      <c r="B1969" s="3" t="s">
        <v>3716</v>
      </c>
      <c r="C1969" s="2"/>
      <c r="D1969" s="2" t="s">
        <v>16</v>
      </c>
      <c r="E1969" s="4">
        <f>1065.42*(1-Z1%)</f>
        <v>1065.42</v>
      </c>
      <c r="F1969" s="2">
        <v>8</v>
      </c>
      <c r="G1969" s="2"/>
    </row>
    <row r="1970" spans="1:26" customHeight="1" ht="36" hidden="true" outlineLevel="3">
      <c r="A1970" s="2" t="s">
        <v>3717</v>
      </c>
      <c r="B1970" s="3" t="s">
        <v>3718</v>
      </c>
      <c r="C1970" s="2"/>
      <c r="D1970" s="2" t="s">
        <v>16</v>
      </c>
      <c r="E1970" s="4">
        <f>1000.65*(1-Z1%)</f>
        <v>1000.65</v>
      </c>
      <c r="F1970" s="2">
        <v>2</v>
      </c>
      <c r="G1970" s="2"/>
    </row>
    <row r="1971" spans="1:26" customHeight="1" ht="36" hidden="true" outlineLevel="3">
      <c r="A1971" s="2" t="s">
        <v>3719</v>
      </c>
      <c r="B1971" s="3" t="s">
        <v>3720</v>
      </c>
      <c r="C1971" s="2"/>
      <c r="D1971" s="2" t="s">
        <v>16</v>
      </c>
      <c r="E1971" s="4">
        <f>698.78*(1-Z1%)</f>
        <v>698.78</v>
      </c>
      <c r="F1971" s="2">
        <v>1</v>
      </c>
      <c r="G1971" s="2"/>
    </row>
    <row r="1972" spans="1:26" customHeight="1" ht="36" hidden="true" outlineLevel="3">
      <c r="A1972" s="2" t="s">
        <v>3721</v>
      </c>
      <c r="B1972" s="3" t="s">
        <v>3722</v>
      </c>
      <c r="C1972" s="2"/>
      <c r="D1972" s="2" t="s">
        <v>16</v>
      </c>
      <c r="E1972" s="4">
        <f>864.01*(1-Z1%)</f>
        <v>864.01</v>
      </c>
      <c r="F1972" s="2">
        <v>3</v>
      </c>
      <c r="G1972" s="2"/>
    </row>
    <row r="1973" spans="1:26" customHeight="1" ht="36" hidden="true" outlineLevel="3">
      <c r="A1973" s="2" t="s">
        <v>3723</v>
      </c>
      <c r="B1973" s="3" t="s">
        <v>3724</v>
      </c>
      <c r="C1973" s="2"/>
      <c r="D1973" s="2" t="s">
        <v>16</v>
      </c>
      <c r="E1973" s="4">
        <f>864.01*(1-Z1%)</f>
        <v>864.01</v>
      </c>
      <c r="F1973" s="2">
        <v>1</v>
      </c>
      <c r="G1973" s="2"/>
    </row>
    <row r="1974" spans="1:26" customHeight="1" ht="36" hidden="true" outlineLevel="3">
      <c r="A1974" s="2" t="s">
        <v>3725</v>
      </c>
      <c r="B1974" s="3" t="s">
        <v>3726</v>
      </c>
      <c r="C1974" s="2"/>
      <c r="D1974" s="2" t="s">
        <v>16</v>
      </c>
      <c r="E1974" s="4">
        <f>864.01*(1-Z1%)</f>
        <v>864.01</v>
      </c>
      <c r="F1974" s="2">
        <v>3</v>
      </c>
      <c r="G1974" s="2"/>
    </row>
    <row r="1975" spans="1:26" customHeight="1" ht="36" hidden="true" outlineLevel="3">
      <c r="A1975" s="2" t="s">
        <v>3727</v>
      </c>
      <c r="B1975" s="3" t="s">
        <v>3728</v>
      </c>
      <c r="C1975" s="2"/>
      <c r="D1975" s="2" t="s">
        <v>16</v>
      </c>
      <c r="E1975" s="4">
        <f>864.01*(1-Z1%)</f>
        <v>864.01</v>
      </c>
      <c r="F1975" s="2">
        <v>2</v>
      </c>
      <c r="G1975" s="2"/>
    </row>
    <row r="1976" spans="1:26" customHeight="1" ht="36" hidden="true" outlineLevel="3">
      <c r="A1976" s="2" t="s">
        <v>3729</v>
      </c>
      <c r="B1976" s="3" t="s">
        <v>3730</v>
      </c>
      <c r="C1976" s="2"/>
      <c r="D1976" s="2" t="s">
        <v>16</v>
      </c>
      <c r="E1976" s="4">
        <f>806.34*(1-Z1%)</f>
        <v>806.34</v>
      </c>
      <c r="F1976" s="2">
        <v>4</v>
      </c>
      <c r="G1976" s="2"/>
    </row>
    <row r="1977" spans="1:26" customHeight="1" ht="36" hidden="true" outlineLevel="3">
      <c r="A1977" s="2" t="s">
        <v>3731</v>
      </c>
      <c r="B1977" s="3" t="s">
        <v>3732</v>
      </c>
      <c r="C1977" s="2"/>
      <c r="D1977" s="2" t="s">
        <v>16</v>
      </c>
      <c r="E1977" s="4">
        <f>1073.35*(1-Z1%)</f>
        <v>1073.35</v>
      </c>
      <c r="F1977" s="2">
        <v>4</v>
      </c>
      <c r="G1977" s="2"/>
    </row>
    <row r="1978" spans="1:26" customHeight="1" ht="36" hidden="true" outlineLevel="3">
      <c r="A1978" s="2" t="s">
        <v>3733</v>
      </c>
      <c r="B1978" s="3" t="s">
        <v>3734</v>
      </c>
      <c r="C1978" s="2"/>
      <c r="D1978" s="2" t="s">
        <v>16</v>
      </c>
      <c r="E1978" s="4">
        <f>1235.01*(1-Z1%)</f>
        <v>1235.01</v>
      </c>
      <c r="F1978" s="2">
        <v>2</v>
      </c>
      <c r="G1978" s="2"/>
    </row>
    <row r="1979" spans="1:26" customHeight="1" ht="36" hidden="true" outlineLevel="3">
      <c r="A1979" s="2" t="s">
        <v>3735</v>
      </c>
      <c r="B1979" s="3" t="s">
        <v>3736</v>
      </c>
      <c r="C1979" s="2"/>
      <c r="D1979" s="2" t="s">
        <v>16</v>
      </c>
      <c r="E1979" s="4">
        <f>878.24*(1-Z1%)</f>
        <v>878.24</v>
      </c>
      <c r="F1979" s="2">
        <v>2</v>
      </c>
      <c r="G1979" s="2"/>
    </row>
    <row r="1980" spans="1:26" customHeight="1" ht="36" hidden="true" outlineLevel="3">
      <c r="A1980" s="2" t="s">
        <v>3737</v>
      </c>
      <c r="B1980" s="3" t="s">
        <v>3738</v>
      </c>
      <c r="C1980" s="2"/>
      <c r="D1980" s="2" t="s">
        <v>16</v>
      </c>
      <c r="E1980" s="4">
        <f>928.42*(1-Z1%)</f>
        <v>928.42</v>
      </c>
      <c r="F1980" s="2">
        <v>2</v>
      </c>
      <c r="G1980" s="2"/>
    </row>
    <row r="1981" spans="1:26" customHeight="1" ht="36" hidden="true" outlineLevel="3">
      <c r="A1981" s="2" t="s">
        <v>3739</v>
      </c>
      <c r="B1981" s="3" t="s">
        <v>3740</v>
      </c>
      <c r="C1981" s="2"/>
      <c r="D1981" s="2" t="s">
        <v>16</v>
      </c>
      <c r="E1981" s="4">
        <f>928.42*(1-Z1%)</f>
        <v>928.42</v>
      </c>
      <c r="F1981" s="2">
        <v>5</v>
      </c>
      <c r="G1981" s="2"/>
    </row>
    <row r="1982" spans="1:26" customHeight="1" ht="36" hidden="true" outlineLevel="3">
      <c r="A1982" s="2" t="s">
        <v>3741</v>
      </c>
      <c r="B1982" s="3" t="s">
        <v>3742</v>
      </c>
      <c r="C1982" s="2"/>
      <c r="D1982" s="2" t="s">
        <v>16</v>
      </c>
      <c r="E1982" s="4">
        <f>896.35*(1-Z1%)</f>
        <v>896.35</v>
      </c>
      <c r="F1982" s="2">
        <v>2</v>
      </c>
      <c r="G1982" s="2"/>
    </row>
    <row r="1983" spans="1:26" customHeight="1" ht="36" hidden="true" outlineLevel="3">
      <c r="A1983" s="2" t="s">
        <v>3743</v>
      </c>
      <c r="B1983" s="3" t="s">
        <v>3744</v>
      </c>
      <c r="C1983" s="2"/>
      <c r="D1983" s="2" t="s">
        <v>16</v>
      </c>
      <c r="E1983" s="4">
        <f>896.35*(1-Z1%)</f>
        <v>896.35</v>
      </c>
      <c r="F1983" s="2">
        <v>2</v>
      </c>
      <c r="G1983" s="2"/>
    </row>
    <row r="1984" spans="1:26" customHeight="1" ht="36" hidden="true" outlineLevel="3">
      <c r="A1984" s="2" t="s">
        <v>3745</v>
      </c>
      <c r="B1984" s="3" t="s">
        <v>3746</v>
      </c>
      <c r="C1984" s="2"/>
      <c r="D1984" s="2" t="s">
        <v>16</v>
      </c>
      <c r="E1984" s="4">
        <f>642.31*(1-Z1%)</f>
        <v>642.31</v>
      </c>
      <c r="F1984" s="2">
        <v>2</v>
      </c>
      <c r="G1984" s="2"/>
    </row>
    <row r="1985" spans="1:26" customHeight="1" ht="36" hidden="true" outlineLevel="3">
      <c r="A1985" s="2" t="s">
        <v>3747</v>
      </c>
      <c r="B1985" s="3" t="s">
        <v>3748</v>
      </c>
      <c r="C1985" s="2"/>
      <c r="D1985" s="2" t="s">
        <v>16</v>
      </c>
      <c r="E1985" s="4">
        <f>629.43*(1-Z1%)</f>
        <v>629.43</v>
      </c>
      <c r="F1985" s="2">
        <v>4</v>
      </c>
      <c r="G1985" s="2"/>
    </row>
    <row r="1986" spans="1:26" customHeight="1" ht="36" hidden="true" outlineLevel="3">
      <c r="A1986" s="2" t="s">
        <v>3749</v>
      </c>
      <c r="B1986" s="3" t="s">
        <v>3750</v>
      </c>
      <c r="C1986" s="2"/>
      <c r="D1986" s="2" t="s">
        <v>16</v>
      </c>
      <c r="E1986" s="4">
        <f>629.43*(1-Z1%)</f>
        <v>629.43</v>
      </c>
      <c r="F1986" s="2">
        <v>4</v>
      </c>
      <c r="G1986" s="2"/>
    </row>
    <row r="1987" spans="1:26" customHeight="1" ht="36" hidden="true" outlineLevel="3">
      <c r="A1987" s="2" t="s">
        <v>3751</v>
      </c>
      <c r="B1987" s="3" t="s">
        <v>3752</v>
      </c>
      <c r="C1987" s="2"/>
      <c r="D1987" s="2" t="s">
        <v>16</v>
      </c>
      <c r="E1987" s="4">
        <f>816.25*(1-Z1%)</f>
        <v>816.25</v>
      </c>
      <c r="F1987" s="2">
        <v>3</v>
      </c>
      <c r="G1987" s="2"/>
    </row>
    <row r="1988" spans="1:26" customHeight="1" ht="36" hidden="true" outlineLevel="3">
      <c r="A1988" s="2" t="s">
        <v>3753</v>
      </c>
      <c r="B1988" s="3" t="s">
        <v>3754</v>
      </c>
      <c r="C1988" s="2"/>
      <c r="D1988" s="2" t="s">
        <v>16</v>
      </c>
      <c r="E1988" s="4">
        <f>816.25*(1-Z1%)</f>
        <v>816.25</v>
      </c>
      <c r="F1988" s="2">
        <v>4</v>
      </c>
      <c r="G1988" s="2"/>
    </row>
    <row r="1989" spans="1:26" customHeight="1" ht="36" hidden="true" outlineLevel="3">
      <c r="A1989" s="2" t="s">
        <v>3755</v>
      </c>
      <c r="B1989" s="3" t="s">
        <v>3756</v>
      </c>
      <c r="C1989" s="2"/>
      <c r="D1989" s="2" t="s">
        <v>16</v>
      </c>
      <c r="E1989" s="4">
        <f>816.25*(1-Z1%)</f>
        <v>816.25</v>
      </c>
      <c r="F1989" s="2">
        <v>3</v>
      </c>
      <c r="G1989" s="2"/>
    </row>
    <row r="1990" spans="1:26" customHeight="1" ht="36" hidden="true" outlineLevel="3">
      <c r="A1990" s="2" t="s">
        <v>3757</v>
      </c>
      <c r="B1990" s="3" t="s">
        <v>3758</v>
      </c>
      <c r="C1990" s="2"/>
      <c r="D1990" s="2" t="s">
        <v>16</v>
      </c>
      <c r="E1990" s="4">
        <f>816.25*(1-Z1%)</f>
        <v>816.25</v>
      </c>
      <c r="F1990" s="2">
        <v>3</v>
      </c>
      <c r="G1990" s="2"/>
    </row>
    <row r="1991" spans="1:26" customHeight="1" ht="36" hidden="true" outlineLevel="3">
      <c r="A1991" s="2" t="s">
        <v>3759</v>
      </c>
      <c r="B1991" s="3" t="s">
        <v>3760</v>
      </c>
      <c r="C1991" s="2"/>
      <c r="D1991" s="2" t="s">
        <v>16</v>
      </c>
      <c r="E1991" s="4">
        <f>816.25*(1-Z1%)</f>
        <v>816.25</v>
      </c>
      <c r="F1991" s="2">
        <v>1</v>
      </c>
      <c r="G1991" s="2"/>
    </row>
    <row r="1992" spans="1:26" customHeight="1" ht="18" hidden="true" outlineLevel="3">
      <c r="A1992" s="2" t="s">
        <v>3761</v>
      </c>
      <c r="B1992" s="3" t="s">
        <v>3762</v>
      </c>
      <c r="C1992" s="2"/>
      <c r="D1992" s="2" t="s">
        <v>16</v>
      </c>
      <c r="E1992" s="4">
        <f>2242.14*(1-Z1%)</f>
        <v>2242.14</v>
      </c>
      <c r="F1992" s="2">
        <v>3</v>
      </c>
      <c r="G1992" s="2"/>
    </row>
    <row r="1993" spans="1:26" customHeight="1" ht="36" hidden="true" outlineLevel="3">
      <c r="A1993" s="2" t="s">
        <v>3763</v>
      </c>
      <c r="B1993" s="3" t="s">
        <v>3764</v>
      </c>
      <c r="C1993" s="2"/>
      <c r="D1993" s="2" t="s">
        <v>16</v>
      </c>
      <c r="E1993" s="4">
        <f>893.87*(1-Z1%)</f>
        <v>893.87</v>
      </c>
      <c r="F1993" s="2">
        <v>1</v>
      </c>
      <c r="G1993" s="2"/>
    </row>
    <row r="1994" spans="1:26" customHeight="1" ht="36" hidden="true" outlineLevel="3">
      <c r="A1994" s="2" t="s">
        <v>3765</v>
      </c>
      <c r="B1994" s="3" t="s">
        <v>3766</v>
      </c>
      <c r="C1994" s="2"/>
      <c r="D1994" s="2" t="s">
        <v>16</v>
      </c>
      <c r="E1994" s="4">
        <f>1662.25*(1-Z1%)</f>
        <v>1662.25</v>
      </c>
      <c r="F1994" s="2">
        <v>1</v>
      </c>
      <c r="G1994" s="2"/>
    </row>
    <row r="1995" spans="1:26" customHeight="1" ht="36" hidden="true" outlineLevel="3">
      <c r="A1995" s="2" t="s">
        <v>3767</v>
      </c>
      <c r="B1995" s="3" t="s">
        <v>3768</v>
      </c>
      <c r="C1995" s="2"/>
      <c r="D1995" s="2" t="s">
        <v>16</v>
      </c>
      <c r="E1995" s="4">
        <f>3115.95*(1-Z1%)</f>
        <v>3115.95</v>
      </c>
      <c r="F1995" s="2">
        <v>1</v>
      </c>
      <c r="G1995" s="2"/>
    </row>
    <row r="1996" spans="1:26" customHeight="1" ht="36" hidden="true" outlineLevel="3">
      <c r="A1996" s="2" t="s">
        <v>3769</v>
      </c>
      <c r="B1996" s="3" t="s">
        <v>3770</v>
      </c>
      <c r="C1996" s="2"/>
      <c r="D1996" s="2" t="s">
        <v>16</v>
      </c>
      <c r="E1996" s="4">
        <f>4479.18*(1-Z1%)</f>
        <v>4479.18</v>
      </c>
      <c r="F1996" s="2">
        <v>3</v>
      </c>
      <c r="G1996" s="2"/>
    </row>
    <row r="1997" spans="1:26" customHeight="1" ht="36" hidden="true" outlineLevel="3">
      <c r="A1997" s="2" t="s">
        <v>3771</v>
      </c>
      <c r="B1997" s="3" t="s">
        <v>3772</v>
      </c>
      <c r="C1997" s="2"/>
      <c r="D1997" s="2" t="s">
        <v>16</v>
      </c>
      <c r="E1997" s="4">
        <f>4868.68*(1-Z1%)</f>
        <v>4868.68</v>
      </c>
      <c r="F1997" s="2">
        <v>1</v>
      </c>
      <c r="G1997" s="2"/>
    </row>
    <row r="1998" spans="1:26" customHeight="1" ht="36" hidden="true" outlineLevel="3">
      <c r="A1998" s="2" t="s">
        <v>3773</v>
      </c>
      <c r="B1998" s="3" t="s">
        <v>3774</v>
      </c>
      <c r="C1998" s="2"/>
      <c r="D1998" s="2" t="s">
        <v>16</v>
      </c>
      <c r="E1998" s="4">
        <f>1231.52*(1-Z1%)</f>
        <v>1231.52</v>
      </c>
      <c r="F1998" s="2">
        <v>2</v>
      </c>
      <c r="G1998" s="2"/>
    </row>
    <row r="1999" spans="1:26" customHeight="1" ht="36" hidden="true" outlineLevel="3">
      <c r="A1999" s="2" t="s">
        <v>3775</v>
      </c>
      <c r="B1999" s="3" t="s">
        <v>3776</v>
      </c>
      <c r="C1999" s="2"/>
      <c r="D1999" s="2" t="s">
        <v>16</v>
      </c>
      <c r="E1999" s="4">
        <f>1150.94*(1-Z1%)</f>
        <v>1150.94</v>
      </c>
      <c r="F1999" s="2">
        <v>2</v>
      </c>
      <c r="G1999" s="2"/>
    </row>
    <row r="2000" spans="1:26" customHeight="1" ht="36" hidden="true" outlineLevel="3">
      <c r="A2000" s="2" t="s">
        <v>3777</v>
      </c>
      <c r="B2000" s="3" t="s">
        <v>3778</v>
      </c>
      <c r="C2000" s="2"/>
      <c r="D2000" s="2" t="s">
        <v>16</v>
      </c>
      <c r="E2000" s="4">
        <f>709.62*(1-Z1%)</f>
        <v>709.62</v>
      </c>
      <c r="F2000" s="2">
        <v>2</v>
      </c>
      <c r="G2000" s="2"/>
    </row>
    <row r="2001" spans="1:26" customHeight="1" ht="36" hidden="true" outlineLevel="3">
      <c r="A2001" s="2" t="s">
        <v>3779</v>
      </c>
      <c r="B2001" s="3" t="s">
        <v>3780</v>
      </c>
      <c r="C2001" s="2"/>
      <c r="D2001" s="2" t="s">
        <v>16</v>
      </c>
      <c r="E2001" s="4">
        <f>709.62*(1-Z1%)</f>
        <v>709.62</v>
      </c>
      <c r="F2001" s="2">
        <v>2</v>
      </c>
      <c r="G2001" s="2"/>
    </row>
    <row r="2002" spans="1:26" customHeight="1" ht="36" hidden="true" outlineLevel="3">
      <c r="A2002" s="2" t="s">
        <v>3781</v>
      </c>
      <c r="B2002" s="3" t="s">
        <v>3782</v>
      </c>
      <c r="C2002" s="2"/>
      <c r="D2002" s="2" t="s">
        <v>16</v>
      </c>
      <c r="E2002" s="4">
        <f>709.62*(1-Z1%)</f>
        <v>709.62</v>
      </c>
      <c r="F2002" s="2">
        <v>1</v>
      </c>
      <c r="G2002" s="2"/>
    </row>
    <row r="2003" spans="1:26" customHeight="1" ht="36" hidden="true" outlineLevel="3">
      <c r="A2003" s="2" t="s">
        <v>3783</v>
      </c>
      <c r="B2003" s="3" t="s">
        <v>3784</v>
      </c>
      <c r="C2003" s="2"/>
      <c r="D2003" s="2" t="s">
        <v>16</v>
      </c>
      <c r="E2003" s="4">
        <f>1153.64*(1-Z1%)</f>
        <v>1153.64</v>
      </c>
      <c r="F2003" s="2">
        <v>3</v>
      </c>
      <c r="G2003" s="2"/>
    </row>
    <row r="2004" spans="1:26" customHeight="1" ht="36" hidden="true" outlineLevel="3">
      <c r="A2004" s="2" t="s">
        <v>3785</v>
      </c>
      <c r="B2004" s="3" t="s">
        <v>3786</v>
      </c>
      <c r="C2004" s="2"/>
      <c r="D2004" s="2" t="s">
        <v>16</v>
      </c>
      <c r="E2004" s="4">
        <f>1153.64*(1-Z1%)</f>
        <v>1153.64</v>
      </c>
      <c r="F2004" s="2">
        <v>2</v>
      </c>
      <c r="G2004" s="2"/>
    </row>
    <row r="2005" spans="1:26" customHeight="1" ht="36" hidden="true" outlineLevel="3">
      <c r="A2005" s="2" t="s">
        <v>3787</v>
      </c>
      <c r="B2005" s="3" t="s">
        <v>3788</v>
      </c>
      <c r="C2005" s="2"/>
      <c r="D2005" s="2" t="s">
        <v>16</v>
      </c>
      <c r="E2005" s="4">
        <f>1153.64*(1-Z1%)</f>
        <v>1153.64</v>
      </c>
      <c r="F2005" s="2">
        <v>1</v>
      </c>
      <c r="G2005" s="2"/>
    </row>
    <row r="2006" spans="1:26" customHeight="1" ht="36" hidden="true" outlineLevel="3">
      <c r="A2006" s="2" t="s">
        <v>3789</v>
      </c>
      <c r="B2006" s="3" t="s">
        <v>3790</v>
      </c>
      <c r="C2006" s="2"/>
      <c r="D2006" s="2" t="s">
        <v>16</v>
      </c>
      <c r="E2006" s="4">
        <f>1153.64*(1-Z1%)</f>
        <v>1153.64</v>
      </c>
      <c r="F2006" s="2">
        <v>1</v>
      </c>
      <c r="G2006" s="2"/>
    </row>
    <row r="2007" spans="1:26" customHeight="1" ht="36" hidden="true" outlineLevel="3">
      <c r="A2007" s="2" t="s">
        <v>3791</v>
      </c>
      <c r="B2007" s="3" t="s">
        <v>3792</v>
      </c>
      <c r="C2007" s="2"/>
      <c r="D2007" s="2" t="s">
        <v>16</v>
      </c>
      <c r="E2007" s="4">
        <f>1153.64*(1-Z1%)</f>
        <v>1153.64</v>
      </c>
      <c r="F2007" s="2">
        <v>2</v>
      </c>
      <c r="G2007" s="2"/>
    </row>
    <row r="2008" spans="1:26" customHeight="1" ht="36" hidden="true" outlineLevel="3">
      <c r="A2008" s="2" t="s">
        <v>3793</v>
      </c>
      <c r="B2008" s="3" t="s">
        <v>3794</v>
      </c>
      <c r="C2008" s="2"/>
      <c r="D2008" s="2" t="s">
        <v>16</v>
      </c>
      <c r="E2008" s="4">
        <f>914.30*(1-Z1%)</f>
        <v>914.3</v>
      </c>
      <c r="F2008" s="2">
        <v>1</v>
      </c>
      <c r="G2008" s="2"/>
    </row>
    <row r="2009" spans="1:26" customHeight="1" ht="36" hidden="true" outlineLevel="3">
      <c r="A2009" s="2" t="s">
        <v>3795</v>
      </c>
      <c r="B2009" s="3" t="s">
        <v>3796</v>
      </c>
      <c r="C2009" s="2"/>
      <c r="D2009" s="2" t="s">
        <v>16</v>
      </c>
      <c r="E2009" s="4">
        <f>914.30*(1-Z1%)</f>
        <v>914.3</v>
      </c>
      <c r="F2009" s="2">
        <v>1</v>
      </c>
      <c r="G2009" s="2"/>
    </row>
    <row r="2010" spans="1:26" customHeight="1" ht="36" hidden="true" outlineLevel="3">
      <c r="A2010" s="2" t="s">
        <v>3797</v>
      </c>
      <c r="B2010" s="3" t="s">
        <v>3798</v>
      </c>
      <c r="C2010" s="2"/>
      <c r="D2010" s="2" t="s">
        <v>16</v>
      </c>
      <c r="E2010" s="4">
        <f>914.30*(1-Z1%)</f>
        <v>914.3</v>
      </c>
      <c r="F2010" s="2">
        <v>1</v>
      </c>
      <c r="G2010" s="2"/>
    </row>
    <row r="2011" spans="1:26" customHeight="1" ht="36" hidden="true" outlineLevel="3">
      <c r="A2011" s="2" t="s">
        <v>3799</v>
      </c>
      <c r="B2011" s="3" t="s">
        <v>3800</v>
      </c>
      <c r="C2011" s="2"/>
      <c r="D2011" s="2" t="s">
        <v>16</v>
      </c>
      <c r="E2011" s="4">
        <f>896.58*(1-Z1%)</f>
        <v>896.58</v>
      </c>
      <c r="F2011" s="2">
        <v>5</v>
      </c>
      <c r="G2011" s="2"/>
    </row>
    <row r="2012" spans="1:26" customHeight="1" ht="36" hidden="true" outlineLevel="3">
      <c r="A2012" s="2" t="s">
        <v>3801</v>
      </c>
      <c r="B2012" s="3" t="s">
        <v>3802</v>
      </c>
      <c r="C2012" s="2"/>
      <c r="D2012" s="2" t="s">
        <v>16</v>
      </c>
      <c r="E2012" s="4">
        <f>1011.55*(1-Z1%)</f>
        <v>1011.55</v>
      </c>
      <c r="F2012" s="2">
        <v>3</v>
      </c>
      <c r="G2012" s="2"/>
    </row>
    <row r="2013" spans="1:26" customHeight="1" ht="36" hidden="true" outlineLevel="3">
      <c r="A2013" s="2" t="s">
        <v>3803</v>
      </c>
      <c r="B2013" s="3" t="s">
        <v>3804</v>
      </c>
      <c r="C2013" s="2"/>
      <c r="D2013" s="2" t="s">
        <v>16</v>
      </c>
      <c r="E2013" s="4">
        <f>975.58*(1-Z1%)</f>
        <v>975.58</v>
      </c>
      <c r="F2013" s="2">
        <v>1</v>
      </c>
      <c r="G2013" s="2"/>
    </row>
    <row r="2014" spans="1:26" customHeight="1" ht="36" hidden="true" outlineLevel="3">
      <c r="A2014" s="2" t="s">
        <v>3805</v>
      </c>
      <c r="B2014" s="3" t="s">
        <v>3806</v>
      </c>
      <c r="C2014" s="2"/>
      <c r="D2014" s="2" t="s">
        <v>16</v>
      </c>
      <c r="E2014" s="4">
        <f>975.58*(1-Z1%)</f>
        <v>975.58</v>
      </c>
      <c r="F2014" s="2">
        <v>2</v>
      </c>
      <c r="G2014" s="2"/>
    </row>
    <row r="2015" spans="1:26" customHeight="1" ht="36" hidden="true" outlineLevel="3">
      <c r="A2015" s="2" t="s">
        <v>3807</v>
      </c>
      <c r="B2015" s="3" t="s">
        <v>3808</v>
      </c>
      <c r="C2015" s="2"/>
      <c r="D2015" s="2" t="s">
        <v>16</v>
      </c>
      <c r="E2015" s="4">
        <f>975.58*(1-Z1%)</f>
        <v>975.58</v>
      </c>
      <c r="F2015" s="2">
        <v>1</v>
      </c>
      <c r="G2015" s="2"/>
    </row>
    <row r="2016" spans="1:26" customHeight="1" ht="36" hidden="true" outlineLevel="3">
      <c r="A2016" s="2" t="s">
        <v>3809</v>
      </c>
      <c r="B2016" s="3" t="s">
        <v>3810</v>
      </c>
      <c r="C2016" s="2"/>
      <c r="D2016" s="2" t="s">
        <v>16</v>
      </c>
      <c r="E2016" s="4">
        <f>975.58*(1-Z1%)</f>
        <v>975.58</v>
      </c>
      <c r="F2016" s="2">
        <v>1</v>
      </c>
      <c r="G2016" s="2"/>
    </row>
    <row r="2017" spans="1:26" customHeight="1" ht="36" hidden="true" outlineLevel="3">
      <c r="A2017" s="2" t="s">
        <v>3811</v>
      </c>
      <c r="B2017" s="3" t="s">
        <v>3812</v>
      </c>
      <c r="C2017" s="2"/>
      <c r="D2017" s="2" t="s">
        <v>16</v>
      </c>
      <c r="E2017" s="4">
        <f>4138.94*(1-Z1%)</f>
        <v>4138.94</v>
      </c>
      <c r="F2017" s="2">
        <v>2</v>
      </c>
      <c r="G2017" s="2"/>
    </row>
    <row r="2018" spans="1:26" customHeight="1" ht="36" hidden="true" outlineLevel="3">
      <c r="A2018" s="2" t="s">
        <v>3813</v>
      </c>
      <c r="B2018" s="3" t="s">
        <v>3814</v>
      </c>
      <c r="C2018" s="2"/>
      <c r="D2018" s="2" t="s">
        <v>16</v>
      </c>
      <c r="E2018" s="4">
        <f>1277.38*(1-Z1%)</f>
        <v>1277.38</v>
      </c>
      <c r="F2018" s="2">
        <v>1</v>
      </c>
      <c r="G2018" s="2"/>
    </row>
    <row r="2019" spans="1:26" customHeight="1" ht="36" hidden="true" outlineLevel="3">
      <c r="A2019" s="2" t="s">
        <v>3815</v>
      </c>
      <c r="B2019" s="3" t="s">
        <v>3816</v>
      </c>
      <c r="C2019" s="2"/>
      <c r="D2019" s="2" t="s">
        <v>16</v>
      </c>
      <c r="E2019" s="4">
        <f>1295.42*(1-Z1%)</f>
        <v>1295.42</v>
      </c>
      <c r="F2019" s="2">
        <v>1</v>
      </c>
      <c r="G2019" s="2"/>
    </row>
    <row r="2020" spans="1:26" customHeight="1" ht="36" hidden="true" outlineLevel="3">
      <c r="A2020" s="2" t="s">
        <v>3817</v>
      </c>
      <c r="B2020" s="3" t="s">
        <v>3818</v>
      </c>
      <c r="C2020" s="2"/>
      <c r="D2020" s="2" t="s">
        <v>16</v>
      </c>
      <c r="E2020" s="4">
        <f>1295.42*(1-Z1%)</f>
        <v>1295.42</v>
      </c>
      <c r="F2020" s="2">
        <v>1</v>
      </c>
      <c r="G2020" s="2"/>
    </row>
    <row r="2021" spans="1:26" customHeight="1" ht="36" hidden="true" outlineLevel="3">
      <c r="A2021" s="2" t="s">
        <v>3819</v>
      </c>
      <c r="B2021" s="3" t="s">
        <v>3820</v>
      </c>
      <c r="C2021" s="2"/>
      <c r="D2021" s="2" t="s">
        <v>16</v>
      </c>
      <c r="E2021" s="4">
        <f>1277.38*(1-Z1%)</f>
        <v>1277.38</v>
      </c>
      <c r="F2021" s="2">
        <v>3</v>
      </c>
      <c r="G2021" s="2"/>
    </row>
    <row r="2022" spans="1:26" customHeight="1" ht="36" hidden="true" outlineLevel="3">
      <c r="A2022" s="2" t="s">
        <v>3821</v>
      </c>
      <c r="B2022" s="3" t="s">
        <v>3822</v>
      </c>
      <c r="C2022" s="2"/>
      <c r="D2022" s="2" t="s">
        <v>16</v>
      </c>
      <c r="E2022" s="4">
        <f>1440.85*(1-Z1%)</f>
        <v>1440.85</v>
      </c>
      <c r="F2022" s="2">
        <v>3</v>
      </c>
      <c r="G2022" s="2"/>
    </row>
    <row r="2023" spans="1:26" customHeight="1" ht="36" hidden="true" outlineLevel="3">
      <c r="A2023" s="2" t="s">
        <v>3823</v>
      </c>
      <c r="B2023" s="3" t="s">
        <v>3824</v>
      </c>
      <c r="C2023" s="2"/>
      <c r="D2023" s="2" t="s">
        <v>16</v>
      </c>
      <c r="E2023" s="4">
        <f>1018.38*(1-Z1%)</f>
        <v>1018.38</v>
      </c>
      <c r="F2023" s="2">
        <v>1</v>
      </c>
      <c r="G2023" s="2"/>
    </row>
    <row r="2024" spans="1:26" customHeight="1" ht="36" hidden="true" outlineLevel="3">
      <c r="A2024" s="2" t="s">
        <v>3825</v>
      </c>
      <c r="B2024" s="3" t="s">
        <v>3826</v>
      </c>
      <c r="C2024" s="2"/>
      <c r="D2024" s="2" t="s">
        <v>16</v>
      </c>
      <c r="E2024" s="4">
        <f>1018.38*(1-Z1%)</f>
        <v>1018.38</v>
      </c>
      <c r="F2024" s="2">
        <v>5</v>
      </c>
      <c r="G2024" s="2"/>
    </row>
    <row r="2025" spans="1:26" customHeight="1" ht="36" hidden="true" outlineLevel="3">
      <c r="A2025" s="2" t="s">
        <v>3827</v>
      </c>
      <c r="B2025" s="3" t="s">
        <v>3828</v>
      </c>
      <c r="C2025" s="2"/>
      <c r="D2025" s="2" t="s">
        <v>16</v>
      </c>
      <c r="E2025" s="4">
        <f>1018.38*(1-Z1%)</f>
        <v>1018.38</v>
      </c>
      <c r="F2025" s="2">
        <v>3</v>
      </c>
      <c r="G2025" s="2"/>
    </row>
    <row r="2026" spans="1:26" customHeight="1" ht="35" hidden="true" outlineLevel="2">
      <c r="A2026" s="5" t="s">
        <v>3829</v>
      </c>
      <c r="B2026" s="5"/>
      <c r="C2026" s="5"/>
      <c r="D2026" s="5"/>
      <c r="E2026" s="5"/>
      <c r="F2026" s="5"/>
      <c r="G2026" s="5"/>
    </row>
    <row r="2027" spans="1:26" customHeight="1" ht="35" hidden="true" outlineLevel="3">
      <c r="A2027" s="5" t="s">
        <v>3830</v>
      </c>
      <c r="B2027" s="5"/>
      <c r="C2027" s="5"/>
      <c r="D2027" s="5"/>
      <c r="E2027" s="5"/>
      <c r="F2027" s="5"/>
      <c r="G2027" s="5"/>
    </row>
    <row r="2028" spans="1:26" customHeight="1" ht="18" hidden="true" outlineLevel="3">
      <c r="A2028" s="2" t="s">
        <v>3831</v>
      </c>
      <c r="B2028" s="3" t="s">
        <v>3832</v>
      </c>
      <c r="C2028" s="2"/>
      <c r="D2028" s="2" t="s">
        <v>16</v>
      </c>
      <c r="E2028" s="4">
        <f>712.85*(1-Z1%)</f>
        <v>712.85</v>
      </c>
      <c r="F2028" s="2">
        <v>2</v>
      </c>
      <c r="G2028" s="2"/>
    </row>
    <row r="2029" spans="1:26" customHeight="1" ht="18" hidden="true" outlineLevel="3">
      <c r="A2029" s="2" t="s">
        <v>3833</v>
      </c>
      <c r="B2029" s="3" t="s">
        <v>3834</v>
      </c>
      <c r="C2029" s="2"/>
      <c r="D2029" s="2" t="s">
        <v>16</v>
      </c>
      <c r="E2029" s="4">
        <f>805.62*(1-Z1%)</f>
        <v>805.62</v>
      </c>
      <c r="F2029" s="2">
        <v>3</v>
      </c>
      <c r="G2029" s="2"/>
    </row>
    <row r="2030" spans="1:26" customHeight="1" ht="18" hidden="true" outlineLevel="3">
      <c r="A2030" s="2" t="s">
        <v>3835</v>
      </c>
      <c r="B2030" s="3" t="s">
        <v>3836</v>
      </c>
      <c r="C2030" s="2"/>
      <c r="D2030" s="2" t="s">
        <v>16</v>
      </c>
      <c r="E2030" s="4">
        <f>805.62*(1-Z1%)</f>
        <v>805.62</v>
      </c>
      <c r="F2030" s="2">
        <v>3</v>
      </c>
      <c r="G2030" s="2"/>
    </row>
    <row r="2031" spans="1:26" customHeight="1" ht="18" hidden="true" outlineLevel="3">
      <c r="A2031" s="2" t="s">
        <v>3837</v>
      </c>
      <c r="B2031" s="3" t="s">
        <v>3838</v>
      </c>
      <c r="C2031" s="2"/>
      <c r="D2031" s="2" t="s">
        <v>16</v>
      </c>
      <c r="E2031" s="4">
        <f>558.12*(1-Z1%)</f>
        <v>558.12</v>
      </c>
      <c r="F2031" s="2">
        <v>1</v>
      </c>
      <c r="G2031" s="2"/>
    </row>
    <row r="2032" spans="1:26" customHeight="1" ht="18" hidden="true" outlineLevel="3">
      <c r="A2032" s="2" t="s">
        <v>3839</v>
      </c>
      <c r="B2032" s="3" t="s">
        <v>3840</v>
      </c>
      <c r="C2032" s="2"/>
      <c r="D2032" s="2" t="s">
        <v>16</v>
      </c>
      <c r="E2032" s="4">
        <f>558.12*(1-Z1%)</f>
        <v>558.12</v>
      </c>
      <c r="F2032" s="2">
        <v>1</v>
      </c>
      <c r="G2032" s="2"/>
    </row>
    <row r="2033" spans="1:26" customHeight="1" ht="35" hidden="true" outlineLevel="3">
      <c r="A2033" s="5" t="s">
        <v>3841</v>
      </c>
      <c r="B2033" s="5"/>
      <c r="C2033" s="5"/>
      <c r="D2033" s="5"/>
      <c r="E2033" s="5"/>
      <c r="F2033" s="5"/>
      <c r="G2033" s="5"/>
    </row>
    <row r="2034" spans="1:26" customHeight="1" ht="36" hidden="true" outlineLevel="3">
      <c r="A2034" s="2" t="s">
        <v>3842</v>
      </c>
      <c r="B2034" s="3" t="s">
        <v>3843</v>
      </c>
      <c r="C2034" s="2"/>
      <c r="D2034" s="2" t="s">
        <v>16</v>
      </c>
      <c r="E2034" s="4">
        <f>1307.64*(1-Z1%)</f>
        <v>1307.64</v>
      </c>
      <c r="F2034" s="2">
        <v>2</v>
      </c>
      <c r="G2034" s="2"/>
    </row>
    <row r="2035" spans="1:26" customHeight="1" ht="18" hidden="true" outlineLevel="3">
      <c r="A2035" s="2" t="s">
        <v>3844</v>
      </c>
      <c r="B2035" s="3" t="s">
        <v>3845</v>
      </c>
      <c r="C2035" s="2"/>
      <c r="D2035" s="2" t="s">
        <v>16</v>
      </c>
      <c r="E2035" s="4">
        <f>2067.19*(1-Z1%)</f>
        <v>2067.19</v>
      </c>
      <c r="F2035" s="2">
        <v>1</v>
      </c>
      <c r="G2035" s="2"/>
    </row>
    <row r="2036" spans="1:26" customHeight="1" ht="18" hidden="true" outlineLevel="3">
      <c r="A2036" s="2" t="s">
        <v>3846</v>
      </c>
      <c r="B2036" s="3" t="s">
        <v>3847</v>
      </c>
      <c r="C2036" s="2"/>
      <c r="D2036" s="2" t="s">
        <v>16</v>
      </c>
      <c r="E2036" s="4">
        <f>630.94*(1-Z1%)</f>
        <v>630.94</v>
      </c>
      <c r="F2036" s="2">
        <v>3</v>
      </c>
      <c r="G2036" s="2"/>
    </row>
    <row r="2037" spans="1:26" customHeight="1" ht="18" hidden="true" outlineLevel="3">
      <c r="A2037" s="2" t="s">
        <v>3848</v>
      </c>
      <c r="B2037" s="3" t="s">
        <v>3849</v>
      </c>
      <c r="C2037" s="2"/>
      <c r="D2037" s="2" t="s">
        <v>16</v>
      </c>
      <c r="E2037" s="4">
        <f>1664.17*(1-Z1%)</f>
        <v>1664.17</v>
      </c>
      <c r="F2037" s="2">
        <v>3</v>
      </c>
      <c r="G2037" s="2"/>
    </row>
    <row r="2038" spans="1:26" customHeight="1" ht="18" hidden="true" outlineLevel="3">
      <c r="A2038" s="2" t="s">
        <v>3850</v>
      </c>
      <c r="B2038" s="3" t="s">
        <v>3851</v>
      </c>
      <c r="C2038" s="2"/>
      <c r="D2038" s="2" t="s">
        <v>16</v>
      </c>
      <c r="E2038" s="4">
        <f>1279.26*(1-Z1%)</f>
        <v>1279.26</v>
      </c>
      <c r="F2038" s="2">
        <v>8</v>
      </c>
      <c r="G2038" s="2"/>
    </row>
    <row r="2039" spans="1:26" customHeight="1" ht="18" hidden="true" outlineLevel="3">
      <c r="A2039" s="2" t="s">
        <v>3852</v>
      </c>
      <c r="B2039" s="3" t="s">
        <v>3853</v>
      </c>
      <c r="C2039" s="2"/>
      <c r="D2039" s="2" t="s">
        <v>16</v>
      </c>
      <c r="E2039" s="4">
        <f>1341.90*(1-Z1%)</f>
        <v>1341.9</v>
      </c>
      <c r="F2039" s="2">
        <v>2</v>
      </c>
      <c r="G2039" s="2"/>
    </row>
    <row r="2040" spans="1:26" customHeight="1" ht="18" hidden="true" outlineLevel="3">
      <c r="A2040" s="2" t="s">
        <v>3854</v>
      </c>
      <c r="B2040" s="3" t="s">
        <v>3855</v>
      </c>
      <c r="C2040" s="2"/>
      <c r="D2040" s="2" t="s">
        <v>16</v>
      </c>
      <c r="E2040" s="4">
        <f>1167.10*(1-Z1%)</f>
        <v>1167.1</v>
      </c>
      <c r="F2040" s="2">
        <v>3</v>
      </c>
      <c r="G2040" s="2"/>
    </row>
    <row r="2041" spans="1:26" customHeight="1" ht="36" hidden="true" outlineLevel="3">
      <c r="A2041" s="2" t="s">
        <v>3856</v>
      </c>
      <c r="B2041" s="3" t="s">
        <v>3857</v>
      </c>
      <c r="C2041" s="2"/>
      <c r="D2041" s="2" t="s">
        <v>16</v>
      </c>
      <c r="E2041" s="4">
        <f>916.99*(1-Z1%)</f>
        <v>916.99</v>
      </c>
      <c r="F2041" s="2">
        <v>2</v>
      </c>
      <c r="G2041" s="2"/>
    </row>
    <row r="2042" spans="1:26" customHeight="1" ht="18" hidden="true" outlineLevel="3">
      <c r="A2042" s="2" t="s">
        <v>3858</v>
      </c>
      <c r="B2042" s="3" t="s">
        <v>3859</v>
      </c>
      <c r="C2042" s="2"/>
      <c r="D2042" s="2" t="s">
        <v>16</v>
      </c>
      <c r="E2042" s="4">
        <f>2450.81*(1-Z1%)</f>
        <v>2450.81</v>
      </c>
      <c r="F2042" s="2">
        <v>2</v>
      </c>
      <c r="G2042" s="2"/>
    </row>
    <row r="2043" spans="1:26" customHeight="1" ht="18" hidden="true" outlineLevel="3">
      <c r="A2043" s="2" t="s">
        <v>3860</v>
      </c>
      <c r="B2043" s="3" t="s">
        <v>3861</v>
      </c>
      <c r="C2043" s="2"/>
      <c r="D2043" s="2" t="s">
        <v>16</v>
      </c>
      <c r="E2043" s="4">
        <f>584.29*(1-Z1%)</f>
        <v>584.29</v>
      </c>
      <c r="F2043" s="2">
        <v>2</v>
      </c>
      <c r="G2043" s="2"/>
    </row>
    <row r="2044" spans="1:26" customHeight="1" ht="36" hidden="true" outlineLevel="3">
      <c r="A2044" s="2" t="s">
        <v>3862</v>
      </c>
      <c r="B2044" s="3" t="s">
        <v>3863</v>
      </c>
      <c r="C2044" s="2"/>
      <c r="D2044" s="2" t="s">
        <v>16</v>
      </c>
      <c r="E2044" s="4">
        <f>1099.21*(1-Z1%)</f>
        <v>1099.21</v>
      </c>
      <c r="F2044" s="2">
        <v>1</v>
      </c>
      <c r="G2044" s="2"/>
    </row>
    <row r="2045" spans="1:26" customHeight="1" ht="18" hidden="true" outlineLevel="3">
      <c r="A2045" s="2" t="s">
        <v>3864</v>
      </c>
      <c r="B2045" s="3" t="s">
        <v>3865</v>
      </c>
      <c r="C2045" s="2"/>
      <c r="D2045" s="2" t="s">
        <v>16</v>
      </c>
      <c r="E2045" s="4">
        <f>1977.98*(1-Z1%)</f>
        <v>1977.98</v>
      </c>
      <c r="F2045" s="2">
        <v>2</v>
      </c>
      <c r="G2045" s="2"/>
    </row>
    <row r="2046" spans="1:26" customHeight="1" ht="36" hidden="true" outlineLevel="3">
      <c r="A2046" s="2" t="s">
        <v>3866</v>
      </c>
      <c r="B2046" s="3" t="s">
        <v>3867</v>
      </c>
      <c r="C2046" s="2"/>
      <c r="D2046" s="2" t="s">
        <v>16</v>
      </c>
      <c r="E2046" s="4">
        <f>550.69*(1-Z1%)</f>
        <v>550.69</v>
      </c>
      <c r="F2046" s="2">
        <v>5</v>
      </c>
      <c r="G2046" s="2"/>
    </row>
    <row r="2047" spans="1:26" customHeight="1" ht="36" hidden="true" outlineLevel="3">
      <c r="A2047" s="2" t="s">
        <v>3868</v>
      </c>
      <c r="B2047" s="3" t="s">
        <v>3869</v>
      </c>
      <c r="C2047" s="2"/>
      <c r="D2047" s="2" t="s">
        <v>16</v>
      </c>
      <c r="E2047" s="4">
        <f>1228.53*(1-Z1%)</f>
        <v>1228.53</v>
      </c>
      <c r="F2047" s="2">
        <v>2</v>
      </c>
      <c r="G2047" s="2"/>
    </row>
    <row r="2048" spans="1:26" customHeight="1" ht="18" hidden="true" outlineLevel="3">
      <c r="A2048" s="2" t="s">
        <v>3870</v>
      </c>
      <c r="B2048" s="3" t="s">
        <v>3871</v>
      </c>
      <c r="C2048" s="2"/>
      <c r="D2048" s="2" t="s">
        <v>16</v>
      </c>
      <c r="E2048" s="4">
        <f>1469.54*(1-Z1%)</f>
        <v>1469.54</v>
      </c>
      <c r="F2048" s="2">
        <v>5</v>
      </c>
      <c r="G2048" s="2"/>
    </row>
    <row r="2049" spans="1:26" customHeight="1" ht="36" hidden="true" outlineLevel="3">
      <c r="A2049" s="2" t="s">
        <v>3872</v>
      </c>
      <c r="B2049" s="3" t="s">
        <v>3873</v>
      </c>
      <c r="C2049" s="2"/>
      <c r="D2049" s="2" t="s">
        <v>16</v>
      </c>
      <c r="E2049" s="4">
        <f>1026.26*(1-Z1%)</f>
        <v>1026.26</v>
      </c>
      <c r="F2049" s="2">
        <v>5</v>
      </c>
      <c r="G2049" s="2"/>
    </row>
    <row r="2050" spans="1:26" customHeight="1" ht="36" hidden="true" outlineLevel="3">
      <c r="A2050" s="2" t="s">
        <v>3874</v>
      </c>
      <c r="B2050" s="3" t="s">
        <v>3875</v>
      </c>
      <c r="C2050" s="2"/>
      <c r="D2050" s="2" t="s">
        <v>16</v>
      </c>
      <c r="E2050" s="4">
        <f>810.57*(1-Z1%)</f>
        <v>810.57</v>
      </c>
      <c r="F2050" s="2">
        <v>2</v>
      </c>
      <c r="G2050" s="2"/>
    </row>
    <row r="2051" spans="1:26" customHeight="1" ht="36" hidden="true" outlineLevel="3">
      <c r="A2051" s="2" t="s">
        <v>3876</v>
      </c>
      <c r="B2051" s="3" t="s">
        <v>3877</v>
      </c>
      <c r="C2051" s="2"/>
      <c r="D2051" s="2" t="s">
        <v>16</v>
      </c>
      <c r="E2051" s="4">
        <f>1133.55*(1-Z1%)</f>
        <v>1133.55</v>
      </c>
      <c r="F2051" s="2">
        <v>2</v>
      </c>
      <c r="G2051" s="2"/>
    </row>
    <row r="2052" spans="1:26" customHeight="1" ht="36" hidden="true" outlineLevel="3">
      <c r="A2052" s="2" t="s">
        <v>3878</v>
      </c>
      <c r="B2052" s="3" t="s">
        <v>3879</v>
      </c>
      <c r="C2052" s="2"/>
      <c r="D2052" s="2" t="s">
        <v>16</v>
      </c>
      <c r="E2052" s="4">
        <f>1248.64*(1-Z1%)</f>
        <v>1248.64</v>
      </c>
      <c r="F2052" s="2">
        <v>1</v>
      </c>
      <c r="G2052" s="2"/>
    </row>
    <row r="2053" spans="1:26" customHeight="1" ht="36" hidden="true" outlineLevel="3">
      <c r="A2053" s="2" t="s">
        <v>3880</v>
      </c>
      <c r="B2053" s="3" t="s">
        <v>3881</v>
      </c>
      <c r="C2053" s="2"/>
      <c r="D2053" s="2" t="s">
        <v>16</v>
      </c>
      <c r="E2053" s="4">
        <f>1272.15*(1-Z1%)</f>
        <v>1272.15</v>
      </c>
      <c r="F2053" s="2">
        <v>4</v>
      </c>
      <c r="G2053" s="2"/>
    </row>
    <row r="2054" spans="1:26" customHeight="1" ht="36" hidden="true" outlineLevel="3">
      <c r="A2054" s="2" t="s">
        <v>3882</v>
      </c>
      <c r="B2054" s="3" t="s">
        <v>3883</v>
      </c>
      <c r="C2054" s="2"/>
      <c r="D2054" s="2" t="s">
        <v>16</v>
      </c>
      <c r="E2054" s="4">
        <f>1720.13*(1-Z1%)</f>
        <v>1720.13</v>
      </c>
      <c r="F2054" s="2">
        <v>4</v>
      </c>
      <c r="G2054" s="2"/>
    </row>
    <row r="2055" spans="1:26" customHeight="1" ht="36" hidden="true" outlineLevel="3">
      <c r="A2055" s="2" t="s">
        <v>3884</v>
      </c>
      <c r="B2055" s="3" t="s">
        <v>3885</v>
      </c>
      <c r="C2055" s="2"/>
      <c r="D2055" s="2" t="s">
        <v>16</v>
      </c>
      <c r="E2055" s="4">
        <f>1533.26*(1-Z1%)</f>
        <v>1533.26</v>
      </c>
      <c r="F2055" s="2">
        <v>1</v>
      </c>
      <c r="G2055" s="2"/>
    </row>
    <row r="2056" spans="1:26" customHeight="1" ht="36" hidden="true" outlineLevel="3">
      <c r="A2056" s="2" t="s">
        <v>3886</v>
      </c>
      <c r="B2056" s="3" t="s">
        <v>3887</v>
      </c>
      <c r="C2056" s="2"/>
      <c r="D2056" s="2" t="s">
        <v>16</v>
      </c>
      <c r="E2056" s="4">
        <f>1119.94*(1-Z1%)</f>
        <v>1119.94</v>
      </c>
      <c r="F2056" s="2">
        <v>3</v>
      </c>
      <c r="G2056" s="2"/>
    </row>
    <row r="2057" spans="1:26" customHeight="1" ht="36" hidden="true" outlineLevel="3">
      <c r="A2057" s="2" t="s">
        <v>3888</v>
      </c>
      <c r="B2057" s="3" t="s">
        <v>3889</v>
      </c>
      <c r="C2057" s="2"/>
      <c r="D2057" s="2" t="s">
        <v>16</v>
      </c>
      <c r="E2057" s="4">
        <f>1248.58*(1-Z1%)</f>
        <v>1248.58</v>
      </c>
      <c r="F2057" s="2">
        <v>3</v>
      </c>
      <c r="G2057" s="2"/>
    </row>
    <row r="2058" spans="1:26" customHeight="1" ht="36" hidden="true" outlineLevel="3">
      <c r="A2058" s="2" t="s">
        <v>3890</v>
      </c>
      <c r="B2058" s="3" t="s">
        <v>3891</v>
      </c>
      <c r="C2058" s="2"/>
      <c r="D2058" s="2" t="s">
        <v>16</v>
      </c>
      <c r="E2058" s="4">
        <f>1572.87*(1-Z1%)</f>
        <v>1572.87</v>
      </c>
      <c r="F2058" s="2">
        <v>1</v>
      </c>
      <c r="G2058" s="2"/>
    </row>
    <row r="2059" spans="1:26" customHeight="1" ht="36" hidden="true" outlineLevel="3">
      <c r="A2059" s="2" t="s">
        <v>3892</v>
      </c>
      <c r="B2059" s="3" t="s">
        <v>3893</v>
      </c>
      <c r="C2059" s="2"/>
      <c r="D2059" s="2" t="s">
        <v>16</v>
      </c>
      <c r="E2059" s="4">
        <f>1486.24*(1-Z1%)</f>
        <v>1486.24</v>
      </c>
      <c r="F2059" s="2">
        <v>1</v>
      </c>
      <c r="G2059" s="2"/>
    </row>
    <row r="2060" spans="1:26" customHeight="1" ht="36" hidden="true" outlineLevel="3">
      <c r="A2060" s="2" t="s">
        <v>3894</v>
      </c>
      <c r="B2060" s="3" t="s">
        <v>3895</v>
      </c>
      <c r="C2060" s="2"/>
      <c r="D2060" s="2" t="s">
        <v>16</v>
      </c>
      <c r="E2060" s="4">
        <f>1895.85*(1-Z1%)</f>
        <v>1895.85</v>
      </c>
      <c r="F2060" s="2">
        <v>4</v>
      </c>
      <c r="G2060" s="2"/>
    </row>
    <row r="2061" spans="1:26" customHeight="1" ht="36" hidden="true" outlineLevel="3">
      <c r="A2061" s="2" t="s">
        <v>3896</v>
      </c>
      <c r="B2061" s="3" t="s">
        <v>3897</v>
      </c>
      <c r="C2061" s="2"/>
      <c r="D2061" s="2" t="s">
        <v>16</v>
      </c>
      <c r="E2061" s="4">
        <f>4273.76*(1-Z1%)</f>
        <v>4273.76</v>
      </c>
      <c r="F2061" s="2">
        <v>1</v>
      </c>
      <c r="G2061" s="2"/>
    </row>
    <row r="2062" spans="1:26" customHeight="1" ht="36" hidden="true" outlineLevel="3">
      <c r="A2062" s="2" t="s">
        <v>3898</v>
      </c>
      <c r="B2062" s="3" t="s">
        <v>3899</v>
      </c>
      <c r="C2062" s="2"/>
      <c r="D2062" s="2" t="s">
        <v>16</v>
      </c>
      <c r="E2062" s="4">
        <f>523.15*(1-Z1%)</f>
        <v>523.15</v>
      </c>
      <c r="F2062" s="2">
        <v>8</v>
      </c>
      <c r="G2062" s="2"/>
    </row>
    <row r="2063" spans="1:26" customHeight="1" ht="18" hidden="true" outlineLevel="3">
      <c r="A2063" s="2" t="s">
        <v>3900</v>
      </c>
      <c r="B2063" s="3" t="s">
        <v>3901</v>
      </c>
      <c r="C2063" s="2"/>
      <c r="D2063" s="2" t="s">
        <v>16</v>
      </c>
      <c r="E2063" s="4">
        <f>190.46*(1-Z1%)</f>
        <v>190.46</v>
      </c>
      <c r="F2063" s="2">
        <v>5</v>
      </c>
      <c r="G2063" s="2"/>
    </row>
    <row r="2064" spans="1:26" customHeight="1" ht="35" hidden="true" outlineLevel="3">
      <c r="A2064" s="5" t="s">
        <v>3902</v>
      </c>
      <c r="B2064" s="5"/>
      <c r="C2064" s="5"/>
      <c r="D2064" s="5"/>
      <c r="E2064" s="5"/>
      <c r="F2064" s="5"/>
      <c r="G2064" s="5"/>
    </row>
    <row r="2065" spans="1:26" customHeight="1" ht="18" hidden="true" outlineLevel="3">
      <c r="A2065" s="2" t="s">
        <v>3903</v>
      </c>
      <c r="B2065" s="3" t="s">
        <v>3904</v>
      </c>
      <c r="C2065" s="2"/>
      <c r="D2065" s="2" t="s">
        <v>16</v>
      </c>
      <c r="E2065" s="4">
        <f>462.21*(1-Z1%)</f>
        <v>462.21</v>
      </c>
      <c r="F2065" s="2">
        <v>4</v>
      </c>
      <c r="G2065" s="2"/>
    </row>
    <row r="2066" spans="1:26" customHeight="1" ht="36" hidden="true" outlineLevel="3">
      <c r="A2066" s="2" t="s">
        <v>3905</v>
      </c>
      <c r="B2066" s="3" t="s">
        <v>3906</v>
      </c>
      <c r="C2066" s="2"/>
      <c r="D2066" s="2" t="s">
        <v>16</v>
      </c>
      <c r="E2066" s="4">
        <f>447.16*(1-Z1%)</f>
        <v>447.16</v>
      </c>
      <c r="F2066" s="2">
        <v>2</v>
      </c>
      <c r="G2066" s="2"/>
    </row>
    <row r="2067" spans="1:26" customHeight="1" ht="18" hidden="true" outlineLevel="3">
      <c r="A2067" s="2" t="s">
        <v>3907</v>
      </c>
      <c r="B2067" s="3" t="s">
        <v>3908</v>
      </c>
      <c r="C2067" s="2"/>
      <c r="D2067" s="2" t="s">
        <v>16</v>
      </c>
      <c r="E2067" s="4">
        <f>704.43*(1-Z1%)</f>
        <v>704.43</v>
      </c>
      <c r="F2067" s="2">
        <v>1</v>
      </c>
      <c r="G2067" s="2"/>
    </row>
    <row r="2068" spans="1:26" customHeight="1" ht="36" hidden="true" outlineLevel="3">
      <c r="A2068" s="2" t="s">
        <v>3909</v>
      </c>
      <c r="B2068" s="3" t="s">
        <v>3910</v>
      </c>
      <c r="C2068" s="2"/>
      <c r="D2068" s="2" t="s">
        <v>16</v>
      </c>
      <c r="E2068" s="4">
        <f>436.16*(1-Z1%)</f>
        <v>436.16</v>
      </c>
      <c r="F2068" s="2">
        <v>1</v>
      </c>
      <c r="G2068" s="2"/>
    </row>
    <row r="2069" spans="1:26" customHeight="1" ht="18" hidden="true" outlineLevel="3">
      <c r="A2069" s="2" t="s">
        <v>3911</v>
      </c>
      <c r="B2069" s="3" t="s">
        <v>3912</v>
      </c>
      <c r="C2069" s="2"/>
      <c r="D2069" s="2" t="s">
        <v>16</v>
      </c>
      <c r="E2069" s="4">
        <f>393.83*(1-Z1%)</f>
        <v>393.83</v>
      </c>
      <c r="F2069" s="2">
        <v>3</v>
      </c>
      <c r="G2069" s="2"/>
    </row>
    <row r="2070" spans="1:26" customHeight="1" ht="18" hidden="true" outlineLevel="3">
      <c r="A2070" s="2" t="s">
        <v>3913</v>
      </c>
      <c r="B2070" s="3" t="s">
        <v>3914</v>
      </c>
      <c r="C2070" s="2"/>
      <c r="D2070" s="2" t="s">
        <v>16</v>
      </c>
      <c r="E2070" s="4">
        <f>743.77*(1-Z1%)</f>
        <v>743.77</v>
      </c>
      <c r="F2070" s="2">
        <v>1</v>
      </c>
      <c r="G2070" s="2"/>
    </row>
    <row r="2071" spans="1:26" customHeight="1" ht="18" hidden="true" outlineLevel="3">
      <c r="A2071" s="2" t="s">
        <v>3915</v>
      </c>
      <c r="B2071" s="3" t="s">
        <v>3916</v>
      </c>
      <c r="C2071" s="2"/>
      <c r="D2071" s="2" t="s">
        <v>16</v>
      </c>
      <c r="E2071" s="4">
        <f>590.17*(1-Z1%)</f>
        <v>590.17</v>
      </c>
      <c r="F2071" s="2">
        <v>2</v>
      </c>
      <c r="G2071" s="2"/>
    </row>
    <row r="2072" spans="1:26" customHeight="1" ht="18" hidden="true" outlineLevel="3">
      <c r="A2072" s="2" t="s">
        <v>3917</v>
      </c>
      <c r="B2072" s="3" t="s">
        <v>3918</v>
      </c>
      <c r="C2072" s="2"/>
      <c r="D2072" s="2" t="s">
        <v>16</v>
      </c>
      <c r="E2072" s="4">
        <f>779.18*(1-Z1%)</f>
        <v>779.18</v>
      </c>
      <c r="F2072" s="2">
        <v>1</v>
      </c>
      <c r="G2072" s="2"/>
    </row>
    <row r="2073" spans="1:26" customHeight="1" ht="18" hidden="true" outlineLevel="3">
      <c r="A2073" s="2" t="s">
        <v>3919</v>
      </c>
      <c r="B2073" s="3" t="s">
        <v>3920</v>
      </c>
      <c r="C2073" s="2"/>
      <c r="D2073" s="2" t="s">
        <v>16</v>
      </c>
      <c r="E2073" s="4">
        <f>1164.72*(1-Z1%)</f>
        <v>1164.72</v>
      </c>
      <c r="F2073" s="2">
        <v>2</v>
      </c>
      <c r="G2073" s="2"/>
    </row>
    <row r="2074" spans="1:26" customHeight="1" ht="36" hidden="true" outlineLevel="3">
      <c r="A2074" s="2" t="s">
        <v>3921</v>
      </c>
      <c r="B2074" s="3" t="s">
        <v>3922</v>
      </c>
      <c r="C2074" s="2"/>
      <c r="D2074" s="2" t="s">
        <v>16</v>
      </c>
      <c r="E2074" s="4">
        <f>527.86*(1-Z1%)</f>
        <v>527.86</v>
      </c>
      <c r="F2074" s="2">
        <v>1</v>
      </c>
      <c r="G2074" s="2"/>
    </row>
    <row r="2075" spans="1:26" customHeight="1" ht="18" hidden="true" outlineLevel="3">
      <c r="A2075" s="2" t="s">
        <v>3923</v>
      </c>
      <c r="B2075" s="3" t="s">
        <v>3924</v>
      </c>
      <c r="C2075" s="2"/>
      <c r="D2075" s="2" t="s">
        <v>16</v>
      </c>
      <c r="E2075" s="4">
        <f>1503.26*(1-Z1%)</f>
        <v>1503.26</v>
      </c>
      <c r="F2075" s="2">
        <v>5</v>
      </c>
      <c r="G2075" s="2"/>
    </row>
    <row r="2076" spans="1:26" customHeight="1" ht="18" hidden="true" outlineLevel="3">
      <c r="A2076" s="2" t="s">
        <v>3925</v>
      </c>
      <c r="B2076" s="3" t="s">
        <v>3926</v>
      </c>
      <c r="C2076" s="2"/>
      <c r="D2076" s="2" t="s">
        <v>16</v>
      </c>
      <c r="E2076" s="4">
        <f>1134.48*(1-Z1%)</f>
        <v>1134.48</v>
      </c>
      <c r="F2076" s="2">
        <v>3</v>
      </c>
      <c r="G2076" s="2"/>
    </row>
    <row r="2077" spans="1:26" customHeight="1" ht="36" hidden="true" outlineLevel="3">
      <c r="A2077" s="2" t="s">
        <v>3927</v>
      </c>
      <c r="B2077" s="3" t="s">
        <v>3928</v>
      </c>
      <c r="C2077" s="2"/>
      <c r="D2077" s="2" t="s">
        <v>16</v>
      </c>
      <c r="E2077" s="4">
        <f>1822.22*(1-Z1%)</f>
        <v>1822.22</v>
      </c>
      <c r="F2077" s="2">
        <v>3</v>
      </c>
      <c r="G2077" s="2"/>
    </row>
    <row r="2078" spans="1:26" customHeight="1" ht="36" hidden="true" outlineLevel="3">
      <c r="A2078" s="2" t="s">
        <v>3929</v>
      </c>
      <c r="B2078" s="3" t="s">
        <v>3930</v>
      </c>
      <c r="C2078" s="2"/>
      <c r="D2078" s="2" t="s">
        <v>16</v>
      </c>
      <c r="E2078" s="4">
        <f>670.11*(1-Z1%)</f>
        <v>670.11</v>
      </c>
      <c r="F2078" s="2">
        <v>3</v>
      </c>
      <c r="G2078" s="2"/>
    </row>
    <row r="2079" spans="1:26" customHeight="1" ht="18" hidden="true" outlineLevel="3">
      <c r="A2079" s="2" t="s">
        <v>3931</v>
      </c>
      <c r="B2079" s="3" t="s">
        <v>3932</v>
      </c>
      <c r="C2079" s="2"/>
      <c r="D2079" s="2" t="s">
        <v>16</v>
      </c>
      <c r="E2079" s="4">
        <f>1150.54*(1-Z1%)</f>
        <v>1150.54</v>
      </c>
      <c r="F2079" s="2">
        <v>3</v>
      </c>
      <c r="G2079" s="2"/>
    </row>
    <row r="2080" spans="1:26" customHeight="1" ht="18" hidden="true" outlineLevel="3">
      <c r="A2080" s="2" t="s">
        <v>3933</v>
      </c>
      <c r="B2080" s="3" t="s">
        <v>3934</v>
      </c>
      <c r="C2080" s="2"/>
      <c r="D2080" s="2" t="s">
        <v>16</v>
      </c>
      <c r="E2080" s="4">
        <f>1377.34*(1-Z1%)</f>
        <v>1377.34</v>
      </c>
      <c r="F2080" s="2">
        <v>2</v>
      </c>
      <c r="G2080" s="2"/>
    </row>
    <row r="2081" spans="1:26" customHeight="1" ht="36" hidden="true" outlineLevel="3">
      <c r="A2081" s="2" t="s">
        <v>3935</v>
      </c>
      <c r="B2081" s="3" t="s">
        <v>3936</v>
      </c>
      <c r="C2081" s="2"/>
      <c r="D2081" s="2" t="s">
        <v>16</v>
      </c>
      <c r="E2081" s="4">
        <f>2160.80*(1-Z1%)</f>
        <v>2160.8</v>
      </c>
      <c r="F2081" s="2">
        <v>2</v>
      </c>
      <c r="G2081" s="2"/>
    </row>
    <row r="2082" spans="1:26" customHeight="1" ht="18" hidden="true" outlineLevel="3">
      <c r="A2082" s="2" t="s">
        <v>3937</v>
      </c>
      <c r="B2082" s="3" t="s">
        <v>3938</v>
      </c>
      <c r="C2082" s="2"/>
      <c r="D2082" s="2" t="s">
        <v>16</v>
      </c>
      <c r="E2082" s="4">
        <f>2508.98*(1-Z1%)</f>
        <v>2508.98</v>
      </c>
      <c r="F2082" s="2">
        <v>2</v>
      </c>
      <c r="G2082" s="2"/>
    </row>
    <row r="2083" spans="1:26" customHeight="1" ht="18" hidden="true" outlineLevel="3">
      <c r="A2083" s="2" t="s">
        <v>3939</v>
      </c>
      <c r="B2083" s="3" t="s">
        <v>3940</v>
      </c>
      <c r="C2083" s="2"/>
      <c r="D2083" s="2" t="s">
        <v>16</v>
      </c>
      <c r="E2083" s="4">
        <f>1010.03*(1-Z1%)</f>
        <v>1010.03</v>
      </c>
      <c r="F2083" s="2">
        <v>4</v>
      </c>
      <c r="G2083" s="2"/>
    </row>
    <row r="2084" spans="1:26" customHeight="1" ht="18" hidden="true" outlineLevel="3">
      <c r="A2084" s="2" t="s">
        <v>3941</v>
      </c>
      <c r="B2084" s="3" t="s">
        <v>3942</v>
      </c>
      <c r="C2084" s="2"/>
      <c r="D2084" s="2" t="s">
        <v>16</v>
      </c>
      <c r="E2084" s="4">
        <f>523.15*(1-Z1%)</f>
        <v>523.15</v>
      </c>
      <c r="F2084" s="2">
        <v>1</v>
      </c>
      <c r="G2084" s="2"/>
    </row>
    <row r="2085" spans="1:26" customHeight="1" ht="18" hidden="true" outlineLevel="3">
      <c r="A2085" s="2" t="s">
        <v>3943</v>
      </c>
      <c r="B2085" s="3" t="s">
        <v>3944</v>
      </c>
      <c r="C2085" s="2"/>
      <c r="D2085" s="2" t="s">
        <v>16</v>
      </c>
      <c r="E2085" s="4">
        <f>458.50*(1-Z1%)</f>
        <v>458.5</v>
      </c>
      <c r="F2085" s="2">
        <v>3</v>
      </c>
      <c r="G2085" s="2"/>
    </row>
    <row r="2086" spans="1:26" customHeight="1" ht="18" hidden="true" outlineLevel="3">
      <c r="A2086" s="2" t="s">
        <v>3945</v>
      </c>
      <c r="B2086" s="3" t="s">
        <v>3946</v>
      </c>
      <c r="C2086" s="2"/>
      <c r="D2086" s="2" t="s">
        <v>16</v>
      </c>
      <c r="E2086" s="4">
        <f>764.16*(1-Z1%)</f>
        <v>764.16</v>
      </c>
      <c r="F2086" s="2">
        <v>2</v>
      </c>
      <c r="G2086" s="2"/>
    </row>
    <row r="2087" spans="1:26" customHeight="1" ht="36" hidden="true" outlineLevel="3">
      <c r="A2087" s="2" t="s">
        <v>3947</v>
      </c>
      <c r="B2087" s="3" t="s">
        <v>3948</v>
      </c>
      <c r="C2087" s="2"/>
      <c r="D2087" s="2" t="s">
        <v>16</v>
      </c>
      <c r="E2087" s="4">
        <f>412.09*(1-Z1%)</f>
        <v>412.09</v>
      </c>
      <c r="F2087" s="2">
        <v>4</v>
      </c>
      <c r="G2087" s="2"/>
    </row>
    <row r="2088" spans="1:26" customHeight="1" ht="36" hidden="true" outlineLevel="3">
      <c r="A2088" s="2" t="s">
        <v>3949</v>
      </c>
      <c r="B2088" s="3" t="s">
        <v>3950</v>
      </c>
      <c r="C2088" s="2"/>
      <c r="D2088" s="2" t="s">
        <v>16</v>
      </c>
      <c r="E2088" s="4">
        <f>3027.54*(1-Z1%)</f>
        <v>3027.54</v>
      </c>
      <c r="F2088" s="2">
        <v>1</v>
      </c>
      <c r="G2088" s="2"/>
    </row>
    <row r="2089" spans="1:26" customHeight="1" ht="18" hidden="true" outlineLevel="3">
      <c r="A2089" s="2" t="s">
        <v>3951</v>
      </c>
      <c r="B2089" s="3" t="s">
        <v>3952</v>
      </c>
      <c r="C2089" s="2"/>
      <c r="D2089" s="2" t="s">
        <v>16</v>
      </c>
      <c r="E2089" s="4">
        <f>1503.79*(1-Z1%)</f>
        <v>1503.79</v>
      </c>
      <c r="F2089" s="2">
        <v>2</v>
      </c>
      <c r="G2089" s="2"/>
    </row>
    <row r="2090" spans="1:26" customHeight="1" ht="35" hidden="true" outlineLevel="3">
      <c r="A2090" s="5" t="s">
        <v>3953</v>
      </c>
      <c r="B2090" s="5"/>
      <c r="C2090" s="5"/>
      <c r="D2090" s="5"/>
      <c r="E2090" s="5"/>
      <c r="F2090" s="5"/>
      <c r="G2090" s="5"/>
    </row>
    <row r="2091" spans="1:26" customHeight="1" ht="18" hidden="true" outlineLevel="3">
      <c r="A2091" s="2" t="s">
        <v>3954</v>
      </c>
      <c r="B2091" s="3" t="s">
        <v>3955</v>
      </c>
      <c r="C2091" s="2"/>
      <c r="D2091" s="2" t="s">
        <v>16</v>
      </c>
      <c r="E2091" s="4">
        <f>3063.93*(1-Z1%)</f>
        <v>3063.93</v>
      </c>
      <c r="F2091" s="2">
        <v>1</v>
      </c>
      <c r="G2091" s="2"/>
    </row>
    <row r="2092" spans="1:26" customHeight="1" ht="18" hidden="true" outlineLevel="3">
      <c r="A2092" s="2" t="s">
        <v>3956</v>
      </c>
      <c r="B2092" s="3" t="s">
        <v>3957</v>
      </c>
      <c r="C2092" s="2"/>
      <c r="D2092" s="2" t="s">
        <v>16</v>
      </c>
      <c r="E2092" s="4">
        <f>2615.29*(1-Z1%)</f>
        <v>2615.29</v>
      </c>
      <c r="F2092" s="2">
        <v>1</v>
      </c>
      <c r="G2092" s="2"/>
    </row>
    <row r="2093" spans="1:26" customHeight="1" ht="35" hidden="true" outlineLevel="3">
      <c r="A2093" s="5" t="s">
        <v>3958</v>
      </c>
      <c r="B2093" s="5"/>
      <c r="C2093" s="5"/>
      <c r="D2093" s="5"/>
      <c r="E2093" s="5"/>
      <c r="F2093" s="5"/>
      <c r="G2093" s="5"/>
    </row>
    <row r="2094" spans="1:26" customHeight="1" ht="18" hidden="true" outlineLevel="3">
      <c r="A2094" s="2" t="s">
        <v>3959</v>
      </c>
      <c r="B2094" s="3" t="s">
        <v>3960</v>
      </c>
      <c r="C2094" s="2"/>
      <c r="D2094" s="2" t="s">
        <v>16</v>
      </c>
      <c r="E2094" s="4">
        <f>182.22*(1-Z1%)</f>
        <v>182.22</v>
      </c>
      <c r="F2094" s="2">
        <v>8</v>
      </c>
      <c r="G2094" s="2"/>
    </row>
    <row r="2095" spans="1:26" customHeight="1" ht="18" hidden="true" outlineLevel="3">
      <c r="A2095" s="2" t="s">
        <v>3961</v>
      </c>
      <c r="B2095" s="3" t="s">
        <v>3962</v>
      </c>
      <c r="C2095" s="2"/>
      <c r="D2095" s="2" t="s">
        <v>16</v>
      </c>
      <c r="E2095" s="4">
        <f>459.57*(1-Z1%)</f>
        <v>459.57</v>
      </c>
      <c r="F2095" s="2">
        <v>4</v>
      </c>
      <c r="G2095" s="2"/>
    </row>
    <row r="2096" spans="1:26" customHeight="1" ht="18" hidden="true" outlineLevel="3">
      <c r="A2096" s="2" t="s">
        <v>3963</v>
      </c>
      <c r="B2096" s="3" t="s">
        <v>3964</v>
      </c>
      <c r="C2096" s="2"/>
      <c r="D2096" s="2" t="s">
        <v>16</v>
      </c>
      <c r="E2096" s="4">
        <f>268.27*(1-Z1%)</f>
        <v>268.27</v>
      </c>
      <c r="F2096" s="2">
        <v>3</v>
      </c>
      <c r="G2096" s="2"/>
    </row>
    <row r="2097" spans="1:26" customHeight="1" ht="36" hidden="true" outlineLevel="3">
      <c r="A2097" s="2" t="s">
        <v>3965</v>
      </c>
      <c r="B2097" s="3" t="s">
        <v>3966</v>
      </c>
      <c r="C2097" s="2"/>
      <c r="D2097" s="2" t="s">
        <v>16</v>
      </c>
      <c r="E2097" s="4">
        <f>634.39*(1-Z1%)</f>
        <v>634.39</v>
      </c>
      <c r="F2097" s="2">
        <v>5</v>
      </c>
      <c r="G2097" s="2"/>
    </row>
    <row r="2098" spans="1:26" customHeight="1" ht="18" hidden="true" outlineLevel="3">
      <c r="A2098" s="2" t="s">
        <v>3967</v>
      </c>
      <c r="B2098" s="3" t="s">
        <v>3968</v>
      </c>
      <c r="C2098" s="2"/>
      <c r="D2098" s="2" t="s">
        <v>16</v>
      </c>
      <c r="E2098" s="4">
        <f>385.60*(1-Z1%)</f>
        <v>385.6</v>
      </c>
      <c r="F2098" s="2">
        <v>1</v>
      </c>
      <c r="G2098" s="2"/>
    </row>
    <row r="2099" spans="1:26" customHeight="1" ht="18" hidden="true" outlineLevel="3">
      <c r="A2099" s="2" t="s">
        <v>3969</v>
      </c>
      <c r="B2099" s="3" t="s">
        <v>3970</v>
      </c>
      <c r="C2099" s="2"/>
      <c r="D2099" s="2" t="s">
        <v>16</v>
      </c>
      <c r="E2099" s="4">
        <f>217.49*(1-Z1%)</f>
        <v>217.49</v>
      </c>
      <c r="F2099" s="2">
        <v>8</v>
      </c>
      <c r="G2099" s="2"/>
    </row>
    <row r="2100" spans="1:26" customHeight="1" ht="18" hidden="true" outlineLevel="3">
      <c r="A2100" s="2" t="s">
        <v>3971</v>
      </c>
      <c r="B2100" s="3" t="s">
        <v>3972</v>
      </c>
      <c r="C2100" s="2"/>
      <c r="D2100" s="2" t="s">
        <v>16</v>
      </c>
      <c r="E2100" s="4">
        <f>276.27*(1-Z1%)</f>
        <v>276.27</v>
      </c>
      <c r="F2100" s="2">
        <v>17</v>
      </c>
      <c r="G2100" s="2"/>
    </row>
    <row r="2101" spans="1:26" customHeight="1" ht="18" hidden="true" outlineLevel="3">
      <c r="A2101" s="2" t="s">
        <v>3973</v>
      </c>
      <c r="B2101" s="3" t="s">
        <v>3974</v>
      </c>
      <c r="C2101" s="2"/>
      <c r="D2101" s="2" t="s">
        <v>16</v>
      </c>
      <c r="E2101" s="4">
        <f>335.05*(1-Z1%)</f>
        <v>335.05</v>
      </c>
      <c r="F2101" s="2">
        <v>9</v>
      </c>
      <c r="G2101" s="2"/>
    </row>
    <row r="2102" spans="1:26" customHeight="1" ht="36" hidden="true" outlineLevel="3">
      <c r="A2102" s="2" t="s">
        <v>3975</v>
      </c>
      <c r="B2102" s="3" t="s">
        <v>3976</v>
      </c>
      <c r="C2102" s="2"/>
      <c r="D2102" s="2" t="s">
        <v>16</v>
      </c>
      <c r="E2102" s="4">
        <f>219.04*(1-Z1%)</f>
        <v>219.04</v>
      </c>
      <c r="F2102" s="2">
        <v>1</v>
      </c>
      <c r="G2102" s="2"/>
    </row>
    <row r="2103" spans="1:26" customHeight="1" ht="36" hidden="true" outlineLevel="3">
      <c r="A2103" s="2" t="s">
        <v>3977</v>
      </c>
      <c r="B2103" s="3" t="s">
        <v>3978</v>
      </c>
      <c r="C2103" s="2"/>
      <c r="D2103" s="2" t="s">
        <v>16</v>
      </c>
      <c r="E2103" s="4">
        <f>286.24*(1-Z1%)</f>
        <v>286.24</v>
      </c>
      <c r="F2103" s="2">
        <v>18</v>
      </c>
      <c r="G2103" s="2"/>
    </row>
    <row r="2104" spans="1:26" customHeight="1" ht="36" hidden="true" outlineLevel="3">
      <c r="A2104" s="2" t="s">
        <v>3979</v>
      </c>
      <c r="B2104" s="3" t="s">
        <v>3980</v>
      </c>
      <c r="C2104" s="2"/>
      <c r="D2104" s="2" t="s">
        <v>16</v>
      </c>
      <c r="E2104" s="4">
        <f>325.65*(1-Z1%)</f>
        <v>325.65</v>
      </c>
      <c r="F2104" s="2">
        <v>5</v>
      </c>
      <c r="G2104" s="2"/>
    </row>
    <row r="2105" spans="1:26" customHeight="1" ht="36" hidden="true" outlineLevel="3">
      <c r="A2105" s="2" t="s">
        <v>3981</v>
      </c>
      <c r="B2105" s="3" t="s">
        <v>3982</v>
      </c>
      <c r="C2105" s="2"/>
      <c r="D2105" s="2" t="s">
        <v>16</v>
      </c>
      <c r="E2105" s="4">
        <f>448.85*(1-Z1%)</f>
        <v>448.85</v>
      </c>
      <c r="F2105" s="2">
        <v>3</v>
      </c>
      <c r="G2105" s="2"/>
    </row>
    <row r="2106" spans="1:26" customHeight="1" ht="36" hidden="true" outlineLevel="3">
      <c r="A2106" s="2" t="s">
        <v>3983</v>
      </c>
      <c r="B2106" s="3" t="s">
        <v>3984</v>
      </c>
      <c r="C2106" s="2"/>
      <c r="D2106" s="2" t="s">
        <v>16</v>
      </c>
      <c r="E2106" s="4">
        <f>559.60*(1-Z1%)</f>
        <v>559.6</v>
      </c>
      <c r="F2106" s="2">
        <v>4</v>
      </c>
      <c r="G2106" s="2"/>
    </row>
    <row r="2107" spans="1:26" customHeight="1" ht="35" hidden="true" outlineLevel="2">
      <c r="A2107" s="5" t="s">
        <v>3985</v>
      </c>
      <c r="B2107" s="5"/>
      <c r="C2107" s="5"/>
      <c r="D2107" s="5"/>
      <c r="E2107" s="5"/>
      <c r="F2107" s="5"/>
      <c r="G2107" s="5"/>
    </row>
    <row r="2108" spans="1:26" customHeight="1" ht="35" hidden="true" outlineLevel="3">
      <c r="A2108" s="5" t="s">
        <v>3986</v>
      </c>
      <c r="B2108" s="5"/>
      <c r="C2108" s="5"/>
      <c r="D2108" s="5"/>
      <c r="E2108" s="5"/>
      <c r="F2108" s="5"/>
      <c r="G2108" s="5"/>
    </row>
    <row r="2109" spans="1:26" customHeight="1" ht="36" hidden="true" outlineLevel="3">
      <c r="A2109" s="2" t="s">
        <v>3987</v>
      </c>
      <c r="B2109" s="3" t="s">
        <v>3988</v>
      </c>
      <c r="C2109" s="2"/>
      <c r="D2109" s="2" t="s">
        <v>16</v>
      </c>
      <c r="E2109" s="4">
        <f>845.78*(1-Z1%)</f>
        <v>845.78</v>
      </c>
      <c r="F2109" s="2">
        <v>1</v>
      </c>
      <c r="G2109" s="2"/>
    </row>
    <row r="2110" spans="1:26" customHeight="1" ht="36" hidden="true" outlineLevel="3">
      <c r="A2110" s="2" t="s">
        <v>3989</v>
      </c>
      <c r="B2110" s="3" t="s">
        <v>3990</v>
      </c>
      <c r="C2110" s="2"/>
      <c r="D2110" s="2" t="s">
        <v>16</v>
      </c>
      <c r="E2110" s="4">
        <f>856.47*(1-Z1%)</f>
        <v>856.47</v>
      </c>
      <c r="F2110" s="2">
        <v>1</v>
      </c>
      <c r="G2110" s="2"/>
    </row>
    <row r="2111" spans="1:26" customHeight="1" ht="36" hidden="true" outlineLevel="3">
      <c r="A2111" s="2" t="s">
        <v>3991</v>
      </c>
      <c r="B2111" s="3" t="s">
        <v>3992</v>
      </c>
      <c r="C2111" s="2"/>
      <c r="D2111" s="2" t="s">
        <v>16</v>
      </c>
      <c r="E2111" s="4">
        <f>973.35*(1-Z1%)</f>
        <v>973.35</v>
      </c>
      <c r="F2111" s="2">
        <v>1</v>
      </c>
      <c r="G2111" s="2"/>
    </row>
    <row r="2112" spans="1:26" customHeight="1" ht="36" hidden="true" outlineLevel="3">
      <c r="A2112" s="2" t="s">
        <v>3993</v>
      </c>
      <c r="B2112" s="3" t="s">
        <v>3994</v>
      </c>
      <c r="C2112" s="2"/>
      <c r="D2112" s="2" t="s">
        <v>16</v>
      </c>
      <c r="E2112" s="4">
        <f>957.11*(1-Z1%)</f>
        <v>957.11</v>
      </c>
      <c r="F2112" s="2">
        <v>5</v>
      </c>
      <c r="G2112" s="2"/>
    </row>
    <row r="2113" spans="1:26" customHeight="1" ht="36" hidden="true" outlineLevel="3">
      <c r="A2113" s="2" t="s">
        <v>3995</v>
      </c>
      <c r="B2113" s="3" t="s">
        <v>3996</v>
      </c>
      <c r="C2113" s="2"/>
      <c r="D2113" s="2" t="s">
        <v>16</v>
      </c>
      <c r="E2113" s="4">
        <f>956.74*(1-Z1%)</f>
        <v>956.74</v>
      </c>
      <c r="F2113" s="2">
        <v>1</v>
      </c>
      <c r="G2113" s="2"/>
    </row>
    <row r="2114" spans="1:26" customHeight="1" ht="36" hidden="true" outlineLevel="3">
      <c r="A2114" s="2" t="s">
        <v>3997</v>
      </c>
      <c r="B2114" s="3" t="s">
        <v>3998</v>
      </c>
      <c r="C2114" s="2"/>
      <c r="D2114" s="2" t="s">
        <v>16</v>
      </c>
      <c r="E2114" s="4">
        <f>957.11*(1-Z1%)</f>
        <v>957.11</v>
      </c>
      <c r="F2114" s="2">
        <v>1</v>
      </c>
      <c r="G2114" s="2"/>
    </row>
    <row r="2115" spans="1:26" customHeight="1" ht="36" hidden="true" outlineLevel="3">
      <c r="A2115" s="2" t="s">
        <v>3999</v>
      </c>
      <c r="B2115" s="3" t="s">
        <v>4000</v>
      </c>
      <c r="C2115" s="2"/>
      <c r="D2115" s="2" t="s">
        <v>16</v>
      </c>
      <c r="E2115" s="4">
        <f>873.28*(1-Z1%)</f>
        <v>873.28</v>
      </c>
      <c r="F2115" s="2">
        <v>2</v>
      </c>
      <c r="G2115" s="2"/>
    </row>
    <row r="2116" spans="1:26" customHeight="1" ht="35" hidden="true" outlineLevel="3">
      <c r="A2116" s="5" t="s">
        <v>4001</v>
      </c>
      <c r="B2116" s="5"/>
      <c r="C2116" s="5"/>
      <c r="D2116" s="5"/>
      <c r="E2116" s="5"/>
      <c r="F2116" s="5"/>
      <c r="G2116" s="5"/>
    </row>
    <row r="2117" spans="1:26" customHeight="1" ht="18" hidden="true" outlineLevel="3">
      <c r="A2117" s="2" t="s">
        <v>4002</v>
      </c>
      <c r="B2117" s="3" t="s">
        <v>4003</v>
      </c>
      <c r="C2117" s="2"/>
      <c r="D2117" s="2" t="s">
        <v>16</v>
      </c>
      <c r="E2117" s="4">
        <f>2091.38*(1-Z1%)</f>
        <v>2091.38</v>
      </c>
      <c r="F2117" s="2">
        <v>4</v>
      </c>
      <c r="G2117" s="2"/>
    </row>
    <row r="2118" spans="1:26" customHeight="1" ht="35" hidden="true" outlineLevel="3">
      <c r="A2118" s="5" t="s">
        <v>4004</v>
      </c>
      <c r="B2118" s="5"/>
      <c r="C2118" s="5"/>
      <c r="D2118" s="5"/>
      <c r="E2118" s="5"/>
      <c r="F2118" s="5"/>
      <c r="G2118" s="5"/>
    </row>
    <row r="2119" spans="1:26" customHeight="1" ht="36" hidden="true" outlineLevel="3">
      <c r="A2119" s="2" t="s">
        <v>4005</v>
      </c>
      <c r="B2119" s="3" t="s">
        <v>4006</v>
      </c>
      <c r="C2119" s="2"/>
      <c r="D2119" s="2" t="s">
        <v>16</v>
      </c>
      <c r="E2119" s="4">
        <f>519.75*(1-Z1%)</f>
        <v>519.75</v>
      </c>
      <c r="F2119" s="2">
        <v>4</v>
      </c>
      <c r="G2119" s="2"/>
    </row>
    <row r="2120" spans="1:26" customHeight="1" ht="36" hidden="true" outlineLevel="3">
      <c r="A2120" s="2" t="s">
        <v>4007</v>
      </c>
      <c r="B2120" s="3" t="s">
        <v>4008</v>
      </c>
      <c r="C2120" s="2"/>
      <c r="D2120" s="2" t="s">
        <v>16</v>
      </c>
      <c r="E2120" s="4">
        <f>321.75*(1-Z1%)</f>
        <v>321.75</v>
      </c>
      <c r="F2120" s="2">
        <v>3</v>
      </c>
      <c r="G2120" s="2"/>
    </row>
    <row r="2121" spans="1:26" customHeight="1" ht="36" hidden="true" outlineLevel="3">
      <c r="A2121" s="2" t="s">
        <v>4009</v>
      </c>
      <c r="B2121" s="3" t="s">
        <v>4010</v>
      </c>
      <c r="C2121" s="2"/>
      <c r="D2121" s="2" t="s">
        <v>16</v>
      </c>
      <c r="E2121" s="4">
        <f>680.63*(1-Z1%)</f>
        <v>680.63</v>
      </c>
      <c r="F2121" s="2">
        <v>8</v>
      </c>
      <c r="G2121" s="2"/>
    </row>
    <row r="2122" spans="1:26" customHeight="1" ht="35" hidden="true" outlineLevel="2">
      <c r="A2122" s="5" t="s">
        <v>4011</v>
      </c>
      <c r="B2122" s="5"/>
      <c r="C2122" s="5"/>
      <c r="D2122" s="5"/>
      <c r="E2122" s="5"/>
      <c r="F2122" s="5"/>
      <c r="G2122" s="5"/>
    </row>
    <row r="2123" spans="1:26" customHeight="1" ht="35" hidden="true" outlineLevel="3">
      <c r="A2123" s="5" t="s">
        <v>4012</v>
      </c>
      <c r="B2123" s="5"/>
      <c r="C2123" s="5"/>
      <c r="D2123" s="5"/>
      <c r="E2123" s="5"/>
      <c r="F2123" s="5"/>
      <c r="G2123" s="5"/>
    </row>
    <row r="2124" spans="1:26" customHeight="1" ht="18" hidden="true" outlineLevel="3">
      <c r="A2124" s="2" t="s">
        <v>4013</v>
      </c>
      <c r="B2124" s="3" t="s">
        <v>4014</v>
      </c>
      <c r="C2124" s="2"/>
      <c r="D2124" s="2" t="s">
        <v>16</v>
      </c>
      <c r="E2124" s="4">
        <f>73.02*(1-Z1%)</f>
        <v>73.02</v>
      </c>
      <c r="F2124" s="2">
        <v>1</v>
      </c>
      <c r="G2124" s="2"/>
    </row>
    <row r="2125" spans="1:26" customHeight="1" ht="35" hidden="true" outlineLevel="3">
      <c r="A2125" s="5" t="s">
        <v>4015</v>
      </c>
      <c r="B2125" s="5"/>
      <c r="C2125" s="5"/>
      <c r="D2125" s="5"/>
      <c r="E2125" s="5"/>
      <c r="F2125" s="5"/>
      <c r="G2125" s="5"/>
    </row>
    <row r="2126" spans="1:26" customHeight="1" ht="18" hidden="true" outlineLevel="3">
      <c r="A2126" s="2" t="s">
        <v>4016</v>
      </c>
      <c r="B2126" s="3" t="s">
        <v>4017</v>
      </c>
      <c r="C2126" s="2"/>
      <c r="D2126" s="2" t="s">
        <v>16</v>
      </c>
      <c r="E2126" s="4">
        <f>283.86*(1-Z1%)</f>
        <v>283.86</v>
      </c>
      <c r="F2126" s="2">
        <v>10</v>
      </c>
      <c r="G2126" s="2"/>
    </row>
    <row r="2127" spans="1:26" customHeight="1" ht="36" hidden="true" outlineLevel="3">
      <c r="A2127" s="2" t="s">
        <v>4018</v>
      </c>
      <c r="B2127" s="3" t="s">
        <v>4019</v>
      </c>
      <c r="C2127" s="2"/>
      <c r="D2127" s="2" t="s">
        <v>16</v>
      </c>
      <c r="E2127" s="4">
        <f>332.16*(1-Z1%)</f>
        <v>332.16</v>
      </c>
      <c r="F2127" s="2">
        <v>4</v>
      </c>
      <c r="G2127" s="2"/>
    </row>
    <row r="2128" spans="1:26" customHeight="1" ht="35" hidden="true" outlineLevel="3">
      <c r="A2128" s="5" t="s">
        <v>4020</v>
      </c>
      <c r="B2128" s="5"/>
      <c r="C2128" s="5"/>
      <c r="D2128" s="5"/>
      <c r="E2128" s="5"/>
      <c r="F2128" s="5"/>
      <c r="G2128" s="5"/>
    </row>
    <row r="2129" spans="1:26" customHeight="1" ht="36" hidden="true" outlineLevel="3">
      <c r="A2129" s="2" t="s">
        <v>4021</v>
      </c>
      <c r="B2129" s="3" t="s">
        <v>4022</v>
      </c>
      <c r="C2129" s="2"/>
      <c r="D2129" s="2" t="s">
        <v>16</v>
      </c>
      <c r="E2129" s="4">
        <f>59.07*(1-Z1%)</f>
        <v>59.07</v>
      </c>
      <c r="F2129" s="2">
        <v>5</v>
      </c>
      <c r="G2129" s="2"/>
    </row>
    <row r="2130" spans="1:26" customHeight="1" ht="36" hidden="true" outlineLevel="3">
      <c r="A2130" s="2" t="s">
        <v>4023</v>
      </c>
      <c r="B2130" s="3" t="s">
        <v>4024</v>
      </c>
      <c r="C2130" s="2"/>
      <c r="D2130" s="2" t="s">
        <v>16</v>
      </c>
      <c r="E2130" s="4">
        <f>295.83*(1-Z1%)</f>
        <v>295.83</v>
      </c>
      <c r="F2130" s="2">
        <v>4</v>
      </c>
      <c r="G2130" s="2"/>
    </row>
    <row r="2131" spans="1:26" customHeight="1" ht="36" hidden="true" outlineLevel="3">
      <c r="A2131" s="2" t="s">
        <v>4025</v>
      </c>
      <c r="B2131" s="3" t="s">
        <v>4026</v>
      </c>
      <c r="C2131" s="2"/>
      <c r="D2131" s="2" t="s">
        <v>16</v>
      </c>
      <c r="E2131" s="4">
        <f>215.14*(1-Z1%)</f>
        <v>215.14</v>
      </c>
      <c r="F2131" s="2">
        <v>2</v>
      </c>
      <c r="G2131" s="2"/>
    </row>
    <row r="2132" spans="1:26" customHeight="1" ht="18" hidden="true" outlineLevel="3">
      <c r="A2132" s="2" t="s">
        <v>4027</v>
      </c>
      <c r="B2132" s="3" t="s">
        <v>4028</v>
      </c>
      <c r="C2132" s="2"/>
      <c r="D2132" s="2" t="s">
        <v>16</v>
      </c>
      <c r="E2132" s="4">
        <f>228.29*(1-Z1%)</f>
        <v>228.29</v>
      </c>
      <c r="F2132" s="2">
        <v>3</v>
      </c>
      <c r="G2132" s="2"/>
    </row>
    <row r="2133" spans="1:26" customHeight="1" ht="18" hidden="true" outlineLevel="3">
      <c r="A2133" s="2" t="s">
        <v>4029</v>
      </c>
      <c r="B2133" s="3" t="s">
        <v>4030</v>
      </c>
      <c r="C2133" s="2"/>
      <c r="D2133" s="2" t="s">
        <v>16</v>
      </c>
      <c r="E2133" s="4">
        <f>153.90*(1-Z1%)</f>
        <v>153.9</v>
      </c>
      <c r="F2133" s="2">
        <v>3</v>
      </c>
      <c r="G2133" s="2"/>
    </row>
    <row r="2134" spans="1:26" customHeight="1" ht="36" hidden="true" outlineLevel="3">
      <c r="A2134" s="2" t="s">
        <v>4031</v>
      </c>
      <c r="B2134" s="3" t="s">
        <v>4032</v>
      </c>
      <c r="C2134" s="2"/>
      <c r="D2134" s="2" t="s">
        <v>16</v>
      </c>
      <c r="E2134" s="4">
        <f>155.19*(1-Z1%)</f>
        <v>155.19</v>
      </c>
      <c r="F2134" s="2">
        <v>4</v>
      </c>
      <c r="G2134" s="2"/>
    </row>
    <row r="2135" spans="1:26" customHeight="1" ht="54" hidden="true" outlineLevel="3">
      <c r="A2135" s="2" t="s">
        <v>4033</v>
      </c>
      <c r="B2135" s="3" t="s">
        <v>4034</v>
      </c>
      <c r="C2135" s="2"/>
      <c r="D2135" s="2" t="s">
        <v>16</v>
      </c>
      <c r="E2135" s="4">
        <f>983.67*(1-Z1%)</f>
        <v>983.67</v>
      </c>
      <c r="F2135" s="2">
        <v>2</v>
      </c>
      <c r="G2135" s="2"/>
    </row>
    <row r="2136" spans="1:26" customHeight="1" ht="18" hidden="true" outlineLevel="3">
      <c r="A2136" s="2" t="s">
        <v>4035</v>
      </c>
      <c r="B2136" s="3" t="s">
        <v>4036</v>
      </c>
      <c r="C2136" s="2"/>
      <c r="D2136" s="2" t="s">
        <v>16</v>
      </c>
      <c r="E2136" s="4">
        <f>228.29*(1-Z1%)</f>
        <v>228.29</v>
      </c>
      <c r="F2136" s="2">
        <v>4</v>
      </c>
      <c r="G2136" s="2"/>
    </row>
    <row r="2137" spans="1:26" customHeight="1" ht="18" hidden="true" outlineLevel="3">
      <c r="A2137" s="2" t="s">
        <v>4037</v>
      </c>
      <c r="B2137" s="3" t="s">
        <v>4038</v>
      </c>
      <c r="C2137" s="2"/>
      <c r="D2137" s="2" t="s">
        <v>16</v>
      </c>
      <c r="E2137" s="4">
        <f>134.24*(1-Z1%)</f>
        <v>134.24</v>
      </c>
      <c r="F2137" s="2">
        <v>8</v>
      </c>
      <c r="G2137" s="2"/>
    </row>
    <row r="2138" spans="1:26" customHeight="1" ht="36" hidden="true" outlineLevel="3">
      <c r="A2138" s="2" t="s">
        <v>4039</v>
      </c>
      <c r="B2138" s="3" t="s">
        <v>4040</v>
      </c>
      <c r="C2138" s="2"/>
      <c r="D2138" s="2" t="s">
        <v>16</v>
      </c>
      <c r="E2138" s="4">
        <f>1008.05*(1-Z1%)</f>
        <v>1008.05</v>
      </c>
      <c r="F2138" s="2">
        <v>1</v>
      </c>
      <c r="G2138" s="2"/>
    </row>
    <row r="2139" spans="1:26" customHeight="1" ht="18" hidden="true" outlineLevel="3">
      <c r="A2139" s="2" t="s">
        <v>4041</v>
      </c>
      <c r="B2139" s="3" t="s">
        <v>4042</v>
      </c>
      <c r="C2139" s="2"/>
      <c r="D2139" s="2" t="s">
        <v>16</v>
      </c>
      <c r="E2139" s="4">
        <f>237.27*(1-Z1%)</f>
        <v>237.27</v>
      </c>
      <c r="F2139" s="2">
        <v>4</v>
      </c>
      <c r="G2139" s="2"/>
    </row>
    <row r="2140" spans="1:26" customHeight="1" ht="18" hidden="true" outlineLevel="3">
      <c r="A2140" s="2" t="s">
        <v>4043</v>
      </c>
      <c r="B2140" s="3" t="s">
        <v>4044</v>
      </c>
      <c r="C2140" s="2"/>
      <c r="D2140" s="2" t="s">
        <v>16</v>
      </c>
      <c r="E2140" s="4">
        <f>173.13*(1-Z1%)</f>
        <v>173.13</v>
      </c>
      <c r="F2140" s="2">
        <v>13</v>
      </c>
      <c r="G2140" s="2"/>
    </row>
    <row r="2141" spans="1:26" customHeight="1" ht="36" hidden="true" outlineLevel="3">
      <c r="A2141" s="2" t="s">
        <v>4045</v>
      </c>
      <c r="B2141" s="3" t="s">
        <v>4046</v>
      </c>
      <c r="C2141" s="2"/>
      <c r="D2141" s="2" t="s">
        <v>16</v>
      </c>
      <c r="E2141" s="4">
        <f>333.45*(1-Z1%)</f>
        <v>333.45</v>
      </c>
      <c r="F2141" s="2">
        <v>9</v>
      </c>
      <c r="G2141" s="2"/>
    </row>
    <row r="2142" spans="1:26" customHeight="1" ht="36" hidden="true" outlineLevel="3">
      <c r="A2142" s="2" t="s">
        <v>4047</v>
      </c>
      <c r="B2142" s="3" t="s">
        <v>4048</v>
      </c>
      <c r="C2142" s="2"/>
      <c r="D2142" s="2" t="s">
        <v>16</v>
      </c>
      <c r="E2142" s="4">
        <f>214.17*(1-Z1%)</f>
        <v>214.17</v>
      </c>
      <c r="F2142" s="2">
        <v>2</v>
      </c>
      <c r="G2142" s="2"/>
    </row>
    <row r="2143" spans="1:26" customHeight="1" ht="18" hidden="true" outlineLevel="3">
      <c r="A2143" s="2" t="s">
        <v>4049</v>
      </c>
      <c r="B2143" s="3" t="s">
        <v>4050</v>
      </c>
      <c r="C2143" s="2"/>
      <c r="D2143" s="2" t="s">
        <v>16</v>
      </c>
      <c r="E2143" s="4">
        <f>205.20*(1-Z1%)</f>
        <v>205.2</v>
      </c>
      <c r="F2143" s="2">
        <v>5</v>
      </c>
      <c r="G2143" s="2"/>
    </row>
    <row r="2144" spans="1:26" customHeight="1" ht="18" hidden="true" outlineLevel="3">
      <c r="A2144" s="2" t="s">
        <v>4051</v>
      </c>
      <c r="B2144" s="3" t="s">
        <v>4052</v>
      </c>
      <c r="C2144" s="2"/>
      <c r="D2144" s="2" t="s">
        <v>16</v>
      </c>
      <c r="E2144" s="4">
        <f>207.77*(1-Z1%)</f>
        <v>207.77</v>
      </c>
      <c r="F2144" s="2">
        <v>4</v>
      </c>
      <c r="G2144" s="2"/>
    </row>
    <row r="2145" spans="1:26" customHeight="1" ht="36" hidden="true" outlineLevel="3">
      <c r="A2145" s="2" t="s">
        <v>4053</v>
      </c>
      <c r="B2145" s="3" t="s">
        <v>4054</v>
      </c>
      <c r="C2145" s="2"/>
      <c r="D2145" s="2" t="s">
        <v>16</v>
      </c>
      <c r="E2145" s="4">
        <f>151.34*(1-Z1%)</f>
        <v>151.34</v>
      </c>
      <c r="F2145" s="2">
        <v>6</v>
      </c>
      <c r="G2145" s="2"/>
    </row>
    <row r="2146" spans="1:26" customHeight="1" ht="18" hidden="true" outlineLevel="3">
      <c r="A2146" s="2" t="s">
        <v>4055</v>
      </c>
      <c r="B2146" s="3" t="s">
        <v>4056</v>
      </c>
      <c r="C2146" s="2"/>
      <c r="D2146" s="2" t="s">
        <v>16</v>
      </c>
      <c r="E2146" s="4">
        <f>150.06*(1-Z1%)</f>
        <v>150.06</v>
      </c>
      <c r="F2146" s="2">
        <v>3</v>
      </c>
      <c r="G2146" s="2"/>
    </row>
    <row r="2147" spans="1:26" customHeight="1" ht="18" hidden="true" outlineLevel="3">
      <c r="A2147" s="2" t="s">
        <v>4057</v>
      </c>
      <c r="B2147" s="3" t="s">
        <v>4058</v>
      </c>
      <c r="C2147" s="2"/>
      <c r="D2147" s="2" t="s">
        <v>16</v>
      </c>
      <c r="E2147" s="4">
        <f>161.86*(1-Z1%)</f>
        <v>161.86</v>
      </c>
      <c r="F2147" s="2">
        <v>2</v>
      </c>
      <c r="G2147" s="2"/>
    </row>
    <row r="2148" spans="1:26" customHeight="1" ht="18" hidden="true" outlineLevel="3">
      <c r="A2148" s="2" t="s">
        <v>4059</v>
      </c>
      <c r="B2148" s="3" t="s">
        <v>4060</v>
      </c>
      <c r="C2148" s="2"/>
      <c r="D2148" s="2" t="s">
        <v>16</v>
      </c>
      <c r="E2148" s="4">
        <f>135.34*(1-Z1%)</f>
        <v>135.34</v>
      </c>
      <c r="F2148" s="2">
        <v>6</v>
      </c>
      <c r="G2148" s="2"/>
    </row>
    <row r="2149" spans="1:26" customHeight="1" ht="36" hidden="true" outlineLevel="3">
      <c r="A2149" s="2" t="s">
        <v>4061</v>
      </c>
      <c r="B2149" s="3" t="s">
        <v>4062</v>
      </c>
      <c r="C2149" s="2"/>
      <c r="D2149" s="2" t="s">
        <v>16</v>
      </c>
      <c r="E2149" s="4">
        <f>175.71*(1-Z1%)</f>
        <v>175.71</v>
      </c>
      <c r="F2149" s="2">
        <v>5</v>
      </c>
      <c r="G2149" s="2"/>
    </row>
    <row r="2150" spans="1:26" customHeight="1" ht="36" hidden="true" outlineLevel="3">
      <c r="A2150" s="2" t="s">
        <v>4063</v>
      </c>
      <c r="B2150" s="3" t="s">
        <v>4064</v>
      </c>
      <c r="C2150" s="2"/>
      <c r="D2150" s="2" t="s">
        <v>16</v>
      </c>
      <c r="E2150" s="4">
        <f>155.61*(1-Z1%)</f>
        <v>155.61</v>
      </c>
      <c r="F2150" s="2">
        <v>7</v>
      </c>
      <c r="G2150" s="2"/>
    </row>
    <row r="2151" spans="1:26" customHeight="1" ht="36" hidden="true" outlineLevel="3">
      <c r="A2151" s="2" t="s">
        <v>4065</v>
      </c>
      <c r="B2151" s="3" t="s">
        <v>4066</v>
      </c>
      <c r="C2151" s="2"/>
      <c r="D2151" s="2" t="s">
        <v>16</v>
      </c>
      <c r="E2151" s="4">
        <f>141.08*(1-Z1%)</f>
        <v>141.08</v>
      </c>
      <c r="F2151" s="2">
        <v>10</v>
      </c>
      <c r="G2151" s="2"/>
    </row>
    <row r="2152" spans="1:26" customHeight="1" ht="36" hidden="true" outlineLevel="3">
      <c r="A2152" s="2" t="s">
        <v>4067</v>
      </c>
      <c r="B2152" s="3" t="s">
        <v>4068</v>
      </c>
      <c r="C2152" s="2"/>
      <c r="D2152" s="2" t="s">
        <v>16</v>
      </c>
      <c r="E2152" s="4">
        <f>89.10*(1-Z1%)</f>
        <v>89.1</v>
      </c>
      <c r="F2152" s="2">
        <v>5</v>
      </c>
      <c r="G2152" s="2"/>
    </row>
    <row r="2153" spans="1:26" customHeight="1" ht="35" hidden="true" outlineLevel="3">
      <c r="A2153" s="5" t="s">
        <v>4069</v>
      </c>
      <c r="B2153" s="5"/>
      <c r="C2153" s="5"/>
      <c r="D2153" s="5"/>
      <c r="E2153" s="5"/>
      <c r="F2153" s="5"/>
      <c r="G2153" s="5"/>
    </row>
    <row r="2154" spans="1:26" customHeight="1" ht="18" hidden="true" outlineLevel="3">
      <c r="A2154" s="2" t="s">
        <v>4070</v>
      </c>
      <c r="B2154" s="3" t="s">
        <v>4071</v>
      </c>
      <c r="C2154" s="2"/>
      <c r="D2154" s="2" t="s">
        <v>16</v>
      </c>
      <c r="E2154" s="4">
        <f>153.45*(1-Z1%)</f>
        <v>153.45</v>
      </c>
      <c r="F2154" s="2">
        <v>4</v>
      </c>
      <c r="G2154" s="2"/>
    </row>
    <row r="2155" spans="1:26" customHeight="1" ht="36" hidden="true" outlineLevel="3">
      <c r="A2155" s="2" t="s">
        <v>4072</v>
      </c>
      <c r="B2155" s="3" t="s">
        <v>4073</v>
      </c>
      <c r="C2155" s="2"/>
      <c r="D2155" s="2" t="s">
        <v>16</v>
      </c>
      <c r="E2155" s="4">
        <f>121.83*(1-Z1%)</f>
        <v>121.83</v>
      </c>
      <c r="F2155" s="2">
        <v>8</v>
      </c>
      <c r="G2155" s="2"/>
    </row>
    <row r="2156" spans="1:26" customHeight="1" ht="36" hidden="true" outlineLevel="3">
      <c r="A2156" s="2" t="s">
        <v>4074</v>
      </c>
      <c r="B2156" s="3" t="s">
        <v>4075</v>
      </c>
      <c r="C2156" s="2"/>
      <c r="D2156" s="2" t="s">
        <v>16</v>
      </c>
      <c r="E2156" s="4">
        <f>141.08*(1-Z1%)</f>
        <v>141.08</v>
      </c>
      <c r="F2156" s="2">
        <v>4</v>
      </c>
      <c r="G2156" s="2"/>
    </row>
    <row r="2157" spans="1:26" customHeight="1" ht="36" hidden="true" outlineLevel="3">
      <c r="A2157" s="2" t="s">
        <v>4076</v>
      </c>
      <c r="B2157" s="3" t="s">
        <v>4077</v>
      </c>
      <c r="C2157" s="2"/>
      <c r="D2157" s="2" t="s">
        <v>16</v>
      </c>
      <c r="E2157" s="4">
        <f>124.41*(1-Z1%)</f>
        <v>124.41</v>
      </c>
      <c r="F2157" s="2">
        <v>1</v>
      </c>
      <c r="G2157" s="2"/>
    </row>
    <row r="2158" spans="1:26" customHeight="1" ht="54" hidden="true" outlineLevel="3">
      <c r="A2158" s="2" t="s">
        <v>4078</v>
      </c>
      <c r="B2158" s="3" t="s">
        <v>4079</v>
      </c>
      <c r="C2158" s="2"/>
      <c r="D2158" s="2" t="s">
        <v>16</v>
      </c>
      <c r="E2158" s="4">
        <f>143.64*(1-Z1%)</f>
        <v>143.64</v>
      </c>
      <c r="F2158" s="2">
        <v>7</v>
      </c>
      <c r="G2158" s="2"/>
    </row>
    <row r="2159" spans="1:26" customHeight="1" ht="54" hidden="true" outlineLevel="3">
      <c r="A2159" s="2" t="s">
        <v>4080</v>
      </c>
      <c r="B2159" s="3" t="s">
        <v>4081</v>
      </c>
      <c r="C2159" s="2"/>
      <c r="D2159" s="2" t="s">
        <v>16</v>
      </c>
      <c r="E2159" s="4">
        <f>128.25*(1-Z1%)</f>
        <v>128.25</v>
      </c>
      <c r="F2159" s="2">
        <v>10</v>
      </c>
      <c r="G2159" s="2"/>
    </row>
    <row r="2160" spans="1:26" customHeight="1" ht="36" hidden="true" outlineLevel="3">
      <c r="A2160" s="2" t="s">
        <v>4082</v>
      </c>
      <c r="B2160" s="3" t="s">
        <v>4083</v>
      </c>
      <c r="C2160" s="2"/>
      <c r="D2160" s="2" t="s">
        <v>16</v>
      </c>
      <c r="E2160" s="4">
        <f>162.87*(1-Z1%)</f>
        <v>162.87</v>
      </c>
      <c r="F2160" s="2">
        <v>7</v>
      </c>
      <c r="G2160" s="2"/>
    </row>
    <row r="2161" spans="1:26" customHeight="1" ht="36" hidden="true" outlineLevel="3">
      <c r="A2161" s="2" t="s">
        <v>4084</v>
      </c>
      <c r="B2161" s="3" t="s">
        <v>4085</v>
      </c>
      <c r="C2161" s="2"/>
      <c r="D2161" s="2" t="s">
        <v>16</v>
      </c>
      <c r="E2161" s="4">
        <f>128.25*(1-Z1%)</f>
        <v>128.25</v>
      </c>
      <c r="F2161" s="2">
        <v>6</v>
      </c>
      <c r="G2161" s="2"/>
    </row>
    <row r="2162" spans="1:26" customHeight="1" ht="54" hidden="true" outlineLevel="3">
      <c r="A2162" s="2" t="s">
        <v>4086</v>
      </c>
      <c r="B2162" s="3" t="s">
        <v>4087</v>
      </c>
      <c r="C2162" s="2"/>
      <c r="D2162" s="2" t="s">
        <v>16</v>
      </c>
      <c r="E2162" s="4">
        <f>139.80*(1-Z1%)</f>
        <v>139.8</v>
      </c>
      <c r="F2162" s="2">
        <v>1</v>
      </c>
      <c r="G2162" s="2"/>
    </row>
    <row r="2163" spans="1:26" customHeight="1" ht="36" hidden="true" outlineLevel="3">
      <c r="A2163" s="2" t="s">
        <v>4088</v>
      </c>
      <c r="B2163" s="3" t="s">
        <v>4089</v>
      </c>
      <c r="C2163" s="2"/>
      <c r="D2163" s="2" t="s">
        <v>16</v>
      </c>
      <c r="E2163" s="4">
        <f>138.51*(1-Z1%)</f>
        <v>138.51</v>
      </c>
      <c r="F2163" s="2">
        <v>3</v>
      </c>
      <c r="G2163" s="2"/>
    </row>
    <row r="2164" spans="1:26" customHeight="1" ht="36" hidden="true" outlineLevel="3">
      <c r="A2164" s="2" t="s">
        <v>4090</v>
      </c>
      <c r="B2164" s="3" t="s">
        <v>4091</v>
      </c>
      <c r="C2164" s="2"/>
      <c r="D2164" s="2" t="s">
        <v>16</v>
      </c>
      <c r="E2164" s="4">
        <f>214.17*(1-Z1%)</f>
        <v>214.17</v>
      </c>
      <c r="F2164" s="2">
        <v>25</v>
      </c>
      <c r="G2164" s="2"/>
    </row>
    <row r="2165" spans="1:26" customHeight="1" ht="18" hidden="true" outlineLevel="3">
      <c r="A2165" s="2" t="s">
        <v>4092</v>
      </c>
      <c r="B2165" s="3" t="s">
        <v>4093</v>
      </c>
      <c r="C2165" s="2"/>
      <c r="D2165" s="2" t="s">
        <v>16</v>
      </c>
      <c r="E2165" s="4">
        <f>62.68*(1-Z1%)</f>
        <v>62.68</v>
      </c>
      <c r="F2165" s="2">
        <v>6</v>
      </c>
      <c r="G2165" s="2"/>
    </row>
    <row r="2166" spans="1:26" customHeight="1" ht="36" hidden="true" outlineLevel="3">
      <c r="A2166" s="2" t="s">
        <v>4094</v>
      </c>
      <c r="B2166" s="3" t="s">
        <v>4095</v>
      </c>
      <c r="C2166" s="2"/>
      <c r="D2166" s="2" t="s">
        <v>16</v>
      </c>
      <c r="E2166" s="4">
        <f>191.10*(1-Z1%)</f>
        <v>191.1</v>
      </c>
      <c r="F2166" s="2">
        <v>15</v>
      </c>
      <c r="G2166" s="2"/>
    </row>
    <row r="2167" spans="1:26" customHeight="1" ht="18" hidden="true" outlineLevel="3">
      <c r="A2167" s="2" t="s">
        <v>4096</v>
      </c>
      <c r="B2167" s="3" t="s">
        <v>4097</v>
      </c>
      <c r="C2167" s="2"/>
      <c r="D2167" s="2" t="s">
        <v>16</v>
      </c>
      <c r="E2167" s="4">
        <f>62.68*(1-Z1%)</f>
        <v>62.68</v>
      </c>
      <c r="F2167" s="2">
        <v>12</v>
      </c>
      <c r="G2167" s="2"/>
    </row>
    <row r="2168" spans="1:26" customHeight="1" ht="36" hidden="true" outlineLevel="3">
      <c r="A2168" s="2" t="s">
        <v>4098</v>
      </c>
      <c r="B2168" s="3" t="s">
        <v>4099</v>
      </c>
      <c r="C2168" s="2"/>
      <c r="D2168" s="2" t="s">
        <v>16</v>
      </c>
      <c r="E2168" s="4">
        <f>198.78*(1-Z1%)</f>
        <v>198.78</v>
      </c>
      <c r="F2168" s="2">
        <v>7</v>
      </c>
      <c r="G2168" s="2"/>
    </row>
    <row r="2169" spans="1:26" customHeight="1" ht="18" hidden="true" outlineLevel="3">
      <c r="A2169" s="2" t="s">
        <v>4100</v>
      </c>
      <c r="B2169" s="3" t="s">
        <v>4101</v>
      </c>
      <c r="C2169" s="2"/>
      <c r="D2169" s="2" t="s">
        <v>16</v>
      </c>
      <c r="E2169" s="4">
        <f>136.38*(1-Z1%)</f>
        <v>136.38</v>
      </c>
      <c r="F2169" s="2">
        <v>6</v>
      </c>
      <c r="G2169" s="2"/>
    </row>
    <row r="2170" spans="1:26" customHeight="1" ht="18" hidden="true" outlineLevel="3">
      <c r="A2170" s="2" t="s">
        <v>4102</v>
      </c>
      <c r="B2170" s="3" t="s">
        <v>4103</v>
      </c>
      <c r="C2170" s="2"/>
      <c r="D2170" s="2" t="s">
        <v>16</v>
      </c>
      <c r="E2170" s="4">
        <f>126.54*(1-Z1%)</f>
        <v>126.54</v>
      </c>
      <c r="F2170" s="2">
        <v>6</v>
      </c>
      <c r="G2170" s="2"/>
    </row>
    <row r="2171" spans="1:26" customHeight="1" ht="18" hidden="true" outlineLevel="3">
      <c r="A2171" s="2" t="s">
        <v>4104</v>
      </c>
      <c r="B2171" s="3" t="s">
        <v>4105</v>
      </c>
      <c r="C2171" s="2"/>
      <c r="D2171" s="2" t="s">
        <v>16</v>
      </c>
      <c r="E2171" s="4">
        <f>49.16*(1-Z1%)</f>
        <v>49.16</v>
      </c>
      <c r="F2171" s="2">
        <v>2</v>
      </c>
      <c r="G2171" s="2"/>
    </row>
    <row r="2172" spans="1:26" customHeight="1" ht="18" hidden="true" outlineLevel="3">
      <c r="A2172" s="2" t="s">
        <v>4106</v>
      </c>
      <c r="B2172" s="3" t="s">
        <v>4107</v>
      </c>
      <c r="C2172" s="2"/>
      <c r="D2172" s="2" t="s">
        <v>16</v>
      </c>
      <c r="E2172" s="4">
        <f>49.16*(1-Z1%)</f>
        <v>49.16</v>
      </c>
      <c r="F2172" s="2">
        <v>2</v>
      </c>
      <c r="G2172" s="2"/>
    </row>
    <row r="2173" spans="1:26" customHeight="1" ht="18" hidden="true" outlineLevel="3">
      <c r="A2173" s="2" t="s">
        <v>4108</v>
      </c>
      <c r="B2173" s="3" t="s">
        <v>4109</v>
      </c>
      <c r="C2173" s="2"/>
      <c r="D2173" s="2" t="s">
        <v>16</v>
      </c>
      <c r="E2173" s="4">
        <f>143.64*(1-Z1%)</f>
        <v>143.64</v>
      </c>
      <c r="F2173" s="2">
        <v>4</v>
      </c>
      <c r="G2173" s="2"/>
    </row>
    <row r="2174" spans="1:26" customHeight="1" ht="18" hidden="true" outlineLevel="3">
      <c r="A2174" s="2" t="s">
        <v>4110</v>
      </c>
      <c r="B2174" s="3" t="s">
        <v>4111</v>
      </c>
      <c r="C2174" s="2"/>
      <c r="D2174" s="2" t="s">
        <v>16</v>
      </c>
      <c r="E2174" s="4">
        <f>126.59*(1-Z1%)</f>
        <v>126.59</v>
      </c>
      <c r="F2174" s="2">
        <v>10</v>
      </c>
      <c r="G2174" s="2"/>
    </row>
    <row r="2175" spans="1:26" customHeight="1" ht="35" hidden="true" outlineLevel="3">
      <c r="A2175" s="5" t="s">
        <v>4112</v>
      </c>
      <c r="B2175" s="5"/>
      <c r="C2175" s="5"/>
      <c r="D2175" s="5"/>
      <c r="E2175" s="5"/>
      <c r="F2175" s="5"/>
      <c r="G2175" s="5"/>
    </row>
    <row r="2176" spans="1:26" customHeight="1" ht="18" hidden="true" outlineLevel="3">
      <c r="A2176" s="2" t="s">
        <v>4113</v>
      </c>
      <c r="B2176" s="3" t="s">
        <v>4114</v>
      </c>
      <c r="C2176" s="2"/>
      <c r="D2176" s="2" t="s">
        <v>16</v>
      </c>
      <c r="E2176" s="4">
        <f>513.00*(1-Z1%)</f>
        <v>513</v>
      </c>
      <c r="F2176" s="2">
        <v>4</v>
      </c>
      <c r="G2176" s="2"/>
    </row>
    <row r="2177" spans="1:26" customHeight="1" ht="18" hidden="true" outlineLevel="3">
      <c r="A2177" s="2" t="s">
        <v>4115</v>
      </c>
      <c r="B2177" s="3" t="s">
        <v>4116</v>
      </c>
      <c r="C2177" s="2"/>
      <c r="D2177" s="2" t="s">
        <v>16</v>
      </c>
      <c r="E2177" s="4">
        <f>513.00*(1-Z1%)</f>
        <v>513</v>
      </c>
      <c r="F2177" s="2">
        <v>4</v>
      </c>
      <c r="G2177" s="2"/>
    </row>
    <row r="2178" spans="1:26" customHeight="1" ht="18" hidden="true" outlineLevel="3">
      <c r="A2178" s="2" t="s">
        <v>4117</v>
      </c>
      <c r="B2178" s="3" t="s">
        <v>4118</v>
      </c>
      <c r="C2178" s="2"/>
      <c r="D2178" s="2" t="s">
        <v>16</v>
      </c>
      <c r="E2178" s="4">
        <f>513.00*(1-Z1%)</f>
        <v>513</v>
      </c>
      <c r="F2178" s="2">
        <v>3</v>
      </c>
      <c r="G2178" s="2"/>
    </row>
    <row r="2179" spans="1:26" customHeight="1" ht="18" hidden="true" outlineLevel="3">
      <c r="A2179" s="2" t="s">
        <v>4119</v>
      </c>
      <c r="B2179" s="3" t="s">
        <v>4120</v>
      </c>
      <c r="C2179" s="2"/>
      <c r="D2179" s="2" t="s">
        <v>16</v>
      </c>
      <c r="E2179" s="4">
        <f>292.52*(1-Z1%)</f>
        <v>292.52</v>
      </c>
      <c r="F2179" s="2">
        <v>1</v>
      </c>
      <c r="G2179" s="2"/>
    </row>
    <row r="2180" spans="1:26" customHeight="1" ht="36" hidden="true" outlineLevel="3">
      <c r="A2180" s="2" t="s">
        <v>4121</v>
      </c>
      <c r="B2180" s="3" t="s">
        <v>4122</v>
      </c>
      <c r="C2180" s="2"/>
      <c r="D2180" s="2" t="s">
        <v>16</v>
      </c>
      <c r="E2180" s="4">
        <f>229.56*(1-Z1%)</f>
        <v>229.56</v>
      </c>
      <c r="F2180" s="2">
        <v>5</v>
      </c>
      <c r="G2180" s="2"/>
    </row>
    <row r="2181" spans="1:26" customHeight="1" ht="36" hidden="true" outlineLevel="3">
      <c r="A2181" s="2" t="s">
        <v>4123</v>
      </c>
      <c r="B2181" s="3" t="s">
        <v>4124</v>
      </c>
      <c r="C2181" s="2"/>
      <c r="D2181" s="2" t="s">
        <v>16</v>
      </c>
      <c r="E2181" s="4">
        <f>242.40*(1-Z1%)</f>
        <v>242.4</v>
      </c>
      <c r="F2181" s="2">
        <v>7</v>
      </c>
      <c r="G2181" s="2"/>
    </row>
    <row r="2182" spans="1:26" customHeight="1" ht="36" hidden="true" outlineLevel="3">
      <c r="A2182" s="2" t="s">
        <v>4125</v>
      </c>
      <c r="B2182" s="3" t="s">
        <v>4126</v>
      </c>
      <c r="C2182" s="2"/>
      <c r="D2182" s="2" t="s">
        <v>16</v>
      </c>
      <c r="E2182" s="4">
        <f>224.43*(1-Z1%)</f>
        <v>224.43</v>
      </c>
      <c r="F2182" s="2">
        <v>6</v>
      </c>
      <c r="G2182" s="2"/>
    </row>
    <row r="2183" spans="1:26" customHeight="1" ht="36" hidden="true" outlineLevel="3">
      <c r="A2183" s="2" t="s">
        <v>4127</v>
      </c>
      <c r="B2183" s="3" t="s">
        <v>4128</v>
      </c>
      <c r="C2183" s="2"/>
      <c r="D2183" s="2" t="s">
        <v>16</v>
      </c>
      <c r="E2183" s="4">
        <f>255.21*(1-Z1%)</f>
        <v>255.21</v>
      </c>
      <c r="F2183" s="2">
        <v>9</v>
      </c>
      <c r="G2183" s="2"/>
    </row>
    <row r="2184" spans="1:26" customHeight="1" ht="36" hidden="true" outlineLevel="3">
      <c r="A2184" s="2" t="s">
        <v>4129</v>
      </c>
      <c r="B2184" s="3" t="s">
        <v>4130</v>
      </c>
      <c r="C2184" s="2"/>
      <c r="D2184" s="2" t="s">
        <v>16</v>
      </c>
      <c r="E2184" s="4">
        <f>229.56*(1-Z1%)</f>
        <v>229.56</v>
      </c>
      <c r="F2184" s="2">
        <v>18</v>
      </c>
      <c r="G2184" s="2"/>
    </row>
    <row r="2185" spans="1:26" customHeight="1" ht="18" hidden="true" outlineLevel="3">
      <c r="A2185" s="2" t="s">
        <v>4131</v>
      </c>
      <c r="B2185" s="3" t="s">
        <v>4132</v>
      </c>
      <c r="C2185" s="2"/>
      <c r="D2185" s="2" t="s">
        <v>16</v>
      </c>
      <c r="E2185" s="4">
        <f>104.48*(1-Z1%)</f>
        <v>104.48</v>
      </c>
      <c r="F2185" s="2">
        <v>6</v>
      </c>
      <c r="G2185" s="2"/>
    </row>
    <row r="2186" spans="1:26" customHeight="1" ht="35" hidden="true" outlineLevel="3">
      <c r="A2186" s="5" t="s">
        <v>4133</v>
      </c>
      <c r="B2186" s="5"/>
      <c r="C2186" s="5"/>
      <c r="D2186" s="5"/>
      <c r="E2186" s="5"/>
      <c r="F2186" s="5"/>
      <c r="G2186" s="5"/>
    </row>
    <row r="2187" spans="1:26" customHeight="1" ht="35" hidden="true" outlineLevel="4">
      <c r="A2187" s="5" t="s">
        <v>4134</v>
      </c>
      <c r="B2187" s="5"/>
      <c r="C2187" s="5"/>
      <c r="D2187" s="5"/>
      <c r="E2187" s="5"/>
      <c r="F2187" s="5"/>
      <c r="G2187" s="5"/>
    </row>
    <row r="2188" spans="1:26" customHeight="1" ht="36" hidden="true" outlineLevel="4">
      <c r="A2188" s="2" t="s">
        <v>4135</v>
      </c>
      <c r="B2188" s="3" t="s">
        <v>4136</v>
      </c>
      <c r="C2188" s="2"/>
      <c r="D2188" s="2" t="s">
        <v>16</v>
      </c>
      <c r="E2188" s="4">
        <f>211.62*(1-Z1%)</f>
        <v>211.62</v>
      </c>
      <c r="F2188" s="2">
        <v>12</v>
      </c>
      <c r="G2188" s="2"/>
    </row>
    <row r="2189" spans="1:26" customHeight="1" ht="36" hidden="true" outlineLevel="4">
      <c r="A2189" s="2" t="s">
        <v>4137</v>
      </c>
      <c r="B2189" s="3" t="s">
        <v>4138</v>
      </c>
      <c r="C2189" s="2"/>
      <c r="D2189" s="2" t="s">
        <v>16</v>
      </c>
      <c r="E2189" s="4">
        <f>201.36*(1-Z1%)</f>
        <v>201.36</v>
      </c>
      <c r="F2189" s="2">
        <v>7</v>
      </c>
      <c r="G2189" s="2"/>
    </row>
    <row r="2190" spans="1:26" customHeight="1" ht="36" hidden="true" outlineLevel="4">
      <c r="A2190" s="2" t="s">
        <v>4139</v>
      </c>
      <c r="B2190" s="3" t="s">
        <v>4140</v>
      </c>
      <c r="C2190" s="2"/>
      <c r="D2190" s="2" t="s">
        <v>16</v>
      </c>
      <c r="E2190" s="4">
        <f>297.00*(1-Z1%)</f>
        <v>297</v>
      </c>
      <c r="F2190" s="2">
        <v>2</v>
      </c>
      <c r="G2190" s="2"/>
    </row>
    <row r="2191" spans="1:26" customHeight="1" ht="36" hidden="true" outlineLevel="4">
      <c r="A2191" s="2" t="s">
        <v>4141</v>
      </c>
      <c r="B2191" s="3" t="s">
        <v>4142</v>
      </c>
      <c r="C2191" s="2"/>
      <c r="D2191" s="2" t="s">
        <v>16</v>
      </c>
      <c r="E2191" s="4">
        <f>157.74*(1-Z1%)</f>
        <v>157.74</v>
      </c>
      <c r="F2191" s="2">
        <v>9</v>
      </c>
      <c r="G2191" s="2"/>
    </row>
    <row r="2192" spans="1:26" customHeight="1" ht="36" hidden="true" outlineLevel="4">
      <c r="A2192" s="2" t="s">
        <v>4143</v>
      </c>
      <c r="B2192" s="3" t="s">
        <v>4144</v>
      </c>
      <c r="C2192" s="2"/>
      <c r="D2192" s="2" t="s">
        <v>16</v>
      </c>
      <c r="E2192" s="4">
        <f>113.72*(1-Z1%)</f>
        <v>113.72</v>
      </c>
      <c r="F2192" s="2">
        <v>4</v>
      </c>
      <c r="G2192" s="2"/>
    </row>
    <row r="2193" spans="1:26" customHeight="1" ht="36" hidden="true" outlineLevel="4">
      <c r="A2193" s="2" t="s">
        <v>4145</v>
      </c>
      <c r="B2193" s="3" t="s">
        <v>4146</v>
      </c>
      <c r="C2193" s="2"/>
      <c r="D2193" s="2" t="s">
        <v>16</v>
      </c>
      <c r="E2193" s="4">
        <f>113.72*(1-Z1%)</f>
        <v>113.72</v>
      </c>
      <c r="F2193" s="2">
        <v>5</v>
      </c>
      <c r="G2193" s="2"/>
    </row>
    <row r="2194" spans="1:26" customHeight="1" ht="36" hidden="true" outlineLevel="4">
      <c r="A2194" s="2" t="s">
        <v>4147</v>
      </c>
      <c r="B2194" s="3" t="s">
        <v>4148</v>
      </c>
      <c r="C2194" s="2"/>
      <c r="D2194" s="2" t="s">
        <v>16</v>
      </c>
      <c r="E2194" s="4">
        <f>138.51*(1-Z1%)</f>
        <v>138.51</v>
      </c>
      <c r="F2194" s="2">
        <v>4</v>
      </c>
      <c r="G2194" s="2"/>
    </row>
    <row r="2195" spans="1:26" customHeight="1" ht="36" hidden="true" outlineLevel="4">
      <c r="A2195" s="2" t="s">
        <v>4149</v>
      </c>
      <c r="B2195" s="3" t="s">
        <v>4150</v>
      </c>
      <c r="C2195" s="2"/>
      <c r="D2195" s="2" t="s">
        <v>16</v>
      </c>
      <c r="E2195" s="4">
        <f>271.89*(1-Z1%)</f>
        <v>271.89</v>
      </c>
      <c r="F2195" s="2">
        <v>4</v>
      </c>
      <c r="G2195" s="2"/>
    </row>
    <row r="2196" spans="1:26" customHeight="1" ht="35" hidden="true" outlineLevel="4">
      <c r="A2196" s="5" t="s">
        <v>4151</v>
      </c>
      <c r="B2196" s="5"/>
      <c r="C2196" s="5"/>
      <c r="D2196" s="5"/>
      <c r="E2196" s="5"/>
      <c r="F2196" s="5"/>
      <c r="G2196" s="5"/>
    </row>
    <row r="2197" spans="1:26" customHeight="1" ht="36" hidden="true" outlineLevel="4">
      <c r="A2197" s="2" t="s">
        <v>4152</v>
      </c>
      <c r="B2197" s="3" t="s">
        <v>4153</v>
      </c>
      <c r="C2197" s="2"/>
      <c r="D2197" s="2" t="s">
        <v>16</v>
      </c>
      <c r="E2197" s="4">
        <f>160.14*(1-Z1%)</f>
        <v>160.14</v>
      </c>
      <c r="F2197" s="2">
        <v>2</v>
      </c>
      <c r="G2197" s="2"/>
    </row>
    <row r="2198" spans="1:26" customHeight="1" ht="36" hidden="true" outlineLevel="4">
      <c r="A2198" s="2" t="s">
        <v>4154</v>
      </c>
      <c r="B2198" s="3" t="s">
        <v>4155</v>
      </c>
      <c r="C2198" s="2"/>
      <c r="D2198" s="2" t="s">
        <v>16</v>
      </c>
      <c r="E2198" s="4">
        <f>225.00*(1-Z1%)</f>
        <v>225</v>
      </c>
      <c r="F2198" s="2">
        <v>3</v>
      </c>
      <c r="G2198" s="2"/>
    </row>
    <row r="2199" spans="1:26" customHeight="1" ht="18" hidden="true" outlineLevel="4">
      <c r="A2199" s="2" t="s">
        <v>4156</v>
      </c>
      <c r="B2199" s="3" t="s">
        <v>4157</v>
      </c>
      <c r="C2199" s="2"/>
      <c r="D2199" s="2" t="s">
        <v>16</v>
      </c>
      <c r="E2199" s="4">
        <f>227.01*(1-Z1%)</f>
        <v>227.01</v>
      </c>
      <c r="F2199" s="2">
        <v>1</v>
      </c>
      <c r="G2199" s="2"/>
    </row>
    <row r="2200" spans="1:26" customHeight="1" ht="18" hidden="true" outlineLevel="4">
      <c r="A2200" s="2" t="s">
        <v>4158</v>
      </c>
      <c r="B2200" s="3" t="s">
        <v>4159</v>
      </c>
      <c r="C2200" s="2"/>
      <c r="D2200" s="2" t="s">
        <v>16</v>
      </c>
      <c r="E2200" s="4">
        <f>175.71*(1-Z1%)</f>
        <v>175.71</v>
      </c>
      <c r="F2200" s="2">
        <v>6</v>
      </c>
      <c r="G2200" s="2"/>
    </row>
    <row r="2201" spans="1:26" customHeight="1" ht="36" hidden="true" outlineLevel="4">
      <c r="A2201" s="2" t="s">
        <v>4160</v>
      </c>
      <c r="B2201" s="3" t="s">
        <v>4161</v>
      </c>
      <c r="C2201" s="2"/>
      <c r="D2201" s="2" t="s">
        <v>16</v>
      </c>
      <c r="E2201" s="4">
        <f>173.13*(1-Z1%)</f>
        <v>173.13</v>
      </c>
      <c r="F2201" s="2">
        <v>3</v>
      </c>
      <c r="G2201" s="2"/>
    </row>
    <row r="2202" spans="1:26" customHeight="1" ht="36" hidden="true" outlineLevel="4">
      <c r="A2202" s="2" t="s">
        <v>4162</v>
      </c>
      <c r="B2202" s="3" t="s">
        <v>4163</v>
      </c>
      <c r="C2202" s="2"/>
      <c r="D2202" s="2" t="s">
        <v>16</v>
      </c>
      <c r="E2202" s="4">
        <f>269.33*(1-Z1%)</f>
        <v>269.33</v>
      </c>
      <c r="F2202" s="2">
        <v>11</v>
      </c>
      <c r="G2202" s="2"/>
    </row>
    <row r="2203" spans="1:26" customHeight="1" ht="35" hidden="true" outlineLevel="4">
      <c r="A2203" s="5" t="s">
        <v>4164</v>
      </c>
      <c r="B2203" s="5"/>
      <c r="C2203" s="5"/>
      <c r="D2203" s="5"/>
      <c r="E2203" s="5"/>
      <c r="F2203" s="5"/>
      <c r="G2203" s="5"/>
    </row>
    <row r="2204" spans="1:26" customHeight="1" ht="18" hidden="true" outlineLevel="4">
      <c r="A2204" s="2" t="s">
        <v>4165</v>
      </c>
      <c r="B2204" s="3" t="s">
        <v>4166</v>
      </c>
      <c r="C2204" s="2"/>
      <c r="D2204" s="2" t="s">
        <v>16</v>
      </c>
      <c r="E2204" s="4">
        <f>110.14*(1-Z1%)</f>
        <v>110.14</v>
      </c>
      <c r="F2204" s="2">
        <v>1</v>
      </c>
      <c r="G2204" s="2"/>
    </row>
    <row r="2205" spans="1:26" customHeight="1" ht="18" hidden="true" outlineLevel="4">
      <c r="A2205" s="2" t="s">
        <v>4167</v>
      </c>
      <c r="B2205" s="3" t="s">
        <v>4168</v>
      </c>
      <c r="C2205" s="2"/>
      <c r="D2205" s="2" t="s">
        <v>16</v>
      </c>
      <c r="E2205" s="4">
        <f>133.38*(1-Z1%)</f>
        <v>133.38</v>
      </c>
      <c r="F2205" s="2">
        <v>3</v>
      </c>
      <c r="G2205" s="2"/>
    </row>
    <row r="2206" spans="1:26" customHeight="1" ht="35" hidden="true" outlineLevel="4">
      <c r="A2206" s="5" t="s">
        <v>4169</v>
      </c>
      <c r="B2206" s="5"/>
      <c r="C2206" s="5"/>
      <c r="D2206" s="5"/>
      <c r="E2206" s="5"/>
      <c r="F2206" s="5"/>
      <c r="G2206" s="5"/>
    </row>
    <row r="2207" spans="1:26" customHeight="1" ht="36" hidden="true" outlineLevel="4">
      <c r="A2207" s="2" t="s">
        <v>4170</v>
      </c>
      <c r="B2207" s="3" t="s">
        <v>4171</v>
      </c>
      <c r="C2207" s="2"/>
      <c r="D2207" s="2" t="s">
        <v>16</v>
      </c>
      <c r="E2207" s="4">
        <f>136.80*(1-Z1%)</f>
        <v>136.8</v>
      </c>
      <c r="F2207" s="2">
        <v>9</v>
      </c>
      <c r="G2207" s="2"/>
    </row>
    <row r="2208" spans="1:26" customHeight="1" ht="36" hidden="true" outlineLevel="4">
      <c r="A2208" s="2" t="s">
        <v>4172</v>
      </c>
      <c r="B2208" s="3" t="s">
        <v>4173</v>
      </c>
      <c r="C2208" s="2"/>
      <c r="D2208" s="2" t="s">
        <v>16</v>
      </c>
      <c r="E2208" s="4">
        <f>214.17*(1-Z1%)</f>
        <v>214.17</v>
      </c>
      <c r="F2208" s="2">
        <v>7</v>
      </c>
      <c r="G2208" s="2"/>
    </row>
    <row r="2209" spans="1:26" customHeight="1" ht="18" hidden="true" outlineLevel="4">
      <c r="A2209" s="2" t="s">
        <v>4174</v>
      </c>
      <c r="B2209" s="3" t="s">
        <v>4175</v>
      </c>
      <c r="C2209" s="2"/>
      <c r="D2209" s="2" t="s">
        <v>16</v>
      </c>
      <c r="E2209" s="4">
        <f>253.94*(1-Z1%)</f>
        <v>253.94</v>
      </c>
      <c r="F2209" s="2">
        <v>1</v>
      </c>
      <c r="G2209" s="2"/>
    </row>
    <row r="2210" spans="1:26" customHeight="1" ht="54" hidden="true" outlineLevel="4">
      <c r="A2210" s="2" t="s">
        <v>4176</v>
      </c>
      <c r="B2210" s="3" t="s">
        <v>4177</v>
      </c>
      <c r="C2210" s="2"/>
      <c r="D2210" s="2" t="s">
        <v>16</v>
      </c>
      <c r="E2210" s="4">
        <f>1323.00*(1-Z1%)</f>
        <v>1323</v>
      </c>
      <c r="F2210" s="2">
        <v>3</v>
      </c>
      <c r="G2210" s="2"/>
    </row>
    <row r="2211" spans="1:26" customHeight="1" ht="18" hidden="true" outlineLevel="4">
      <c r="A2211" s="2" t="s">
        <v>4178</v>
      </c>
      <c r="B2211" s="3" t="s">
        <v>4179</v>
      </c>
      <c r="C2211" s="2"/>
      <c r="D2211" s="2" t="s">
        <v>16</v>
      </c>
      <c r="E2211" s="4">
        <f>224.43*(1-Z1%)</f>
        <v>224.43</v>
      </c>
      <c r="F2211" s="2">
        <v>2</v>
      </c>
      <c r="G2211" s="2"/>
    </row>
    <row r="2212" spans="1:26" customHeight="1" ht="36" hidden="true" outlineLevel="4">
      <c r="A2212" s="2" t="s">
        <v>4180</v>
      </c>
      <c r="B2212" s="3" t="s">
        <v>4181</v>
      </c>
      <c r="C2212" s="2"/>
      <c r="D2212" s="2" t="s">
        <v>16</v>
      </c>
      <c r="E2212" s="4">
        <f>242.40*(1-Z1%)</f>
        <v>242.4</v>
      </c>
      <c r="F2212" s="2">
        <v>3</v>
      </c>
      <c r="G2212" s="2"/>
    </row>
    <row r="2213" spans="1:26" customHeight="1" ht="36" hidden="true" outlineLevel="4">
      <c r="A2213" s="2" t="s">
        <v>4182</v>
      </c>
      <c r="B2213" s="3" t="s">
        <v>4183</v>
      </c>
      <c r="C2213" s="2"/>
      <c r="D2213" s="2" t="s">
        <v>16</v>
      </c>
      <c r="E2213" s="4">
        <f>228.29*(1-Z1%)</f>
        <v>228.29</v>
      </c>
      <c r="F2213" s="2">
        <v>4</v>
      </c>
      <c r="G2213" s="2"/>
    </row>
    <row r="2214" spans="1:26" customHeight="1" ht="18" hidden="true" outlineLevel="4">
      <c r="A2214" s="2" t="s">
        <v>4184</v>
      </c>
      <c r="B2214" s="3" t="s">
        <v>4185</v>
      </c>
      <c r="C2214" s="2"/>
      <c r="D2214" s="2" t="s">
        <v>16</v>
      </c>
      <c r="E2214" s="4">
        <f>306.51*(1-Z1%)</f>
        <v>306.51</v>
      </c>
      <c r="F2214" s="2">
        <v>3</v>
      </c>
      <c r="G2214" s="2"/>
    </row>
    <row r="2215" spans="1:26" customHeight="1" ht="54" hidden="true" outlineLevel="4">
      <c r="A2215" s="2" t="s">
        <v>4186</v>
      </c>
      <c r="B2215" s="3" t="s">
        <v>4187</v>
      </c>
      <c r="C2215" s="2"/>
      <c r="D2215" s="2" t="s">
        <v>16</v>
      </c>
      <c r="E2215" s="4">
        <f>1227.36*(1-Z1%)</f>
        <v>1227.36</v>
      </c>
      <c r="F2215" s="2">
        <v>2</v>
      </c>
      <c r="G2215" s="2"/>
    </row>
    <row r="2216" spans="1:26" customHeight="1" ht="36" hidden="true" outlineLevel="4">
      <c r="A2216" s="2" t="s">
        <v>4188</v>
      </c>
      <c r="B2216" s="3" t="s">
        <v>4189</v>
      </c>
      <c r="C2216" s="2"/>
      <c r="D2216" s="2" t="s">
        <v>16</v>
      </c>
      <c r="E2216" s="4">
        <f>234.69*(1-Z1%)</f>
        <v>234.69</v>
      </c>
      <c r="F2216" s="2">
        <v>6</v>
      </c>
      <c r="G2216" s="2"/>
    </row>
    <row r="2217" spans="1:26" customHeight="1" ht="36" hidden="true" outlineLevel="4">
      <c r="A2217" s="2" t="s">
        <v>4190</v>
      </c>
      <c r="B2217" s="3" t="s">
        <v>4191</v>
      </c>
      <c r="C2217" s="2"/>
      <c r="D2217" s="2" t="s">
        <v>16</v>
      </c>
      <c r="E2217" s="4">
        <f>282.15*(1-Z1%)</f>
        <v>282.15</v>
      </c>
      <c r="F2217" s="2">
        <v>5</v>
      </c>
      <c r="G2217" s="2"/>
    </row>
    <row r="2218" spans="1:26" customHeight="1" ht="36" hidden="true" outlineLevel="4">
      <c r="A2218" s="2" t="s">
        <v>4192</v>
      </c>
      <c r="B2218" s="3" t="s">
        <v>4193</v>
      </c>
      <c r="C2218" s="2"/>
      <c r="D2218" s="2" t="s">
        <v>16</v>
      </c>
      <c r="E2218" s="4">
        <f>229.56*(1-Z1%)</f>
        <v>229.56</v>
      </c>
      <c r="F2218" s="2">
        <v>4</v>
      </c>
      <c r="G2218" s="2"/>
    </row>
    <row r="2219" spans="1:26" customHeight="1" ht="18" hidden="true" outlineLevel="4">
      <c r="A2219" s="2" t="s">
        <v>4194</v>
      </c>
      <c r="B2219" s="3" t="s">
        <v>4195</v>
      </c>
      <c r="C2219" s="2"/>
      <c r="D2219" s="2" t="s">
        <v>16</v>
      </c>
      <c r="E2219" s="4">
        <f>236.30*(1-Z1%)</f>
        <v>236.3</v>
      </c>
      <c r="F2219" s="2">
        <v>1</v>
      </c>
      <c r="G2219" s="2"/>
    </row>
    <row r="2220" spans="1:26" customHeight="1" ht="18" hidden="true" outlineLevel="4">
      <c r="A2220" s="2" t="s">
        <v>4196</v>
      </c>
      <c r="B2220" s="3" t="s">
        <v>4197</v>
      </c>
      <c r="C2220" s="2"/>
      <c r="D2220" s="2" t="s">
        <v>16</v>
      </c>
      <c r="E2220" s="4">
        <f>216.75*(1-Z1%)</f>
        <v>216.75</v>
      </c>
      <c r="F2220" s="2">
        <v>3</v>
      </c>
      <c r="G2220" s="2"/>
    </row>
    <row r="2221" spans="1:26" customHeight="1" ht="36" hidden="true" outlineLevel="4">
      <c r="A2221" s="2" t="s">
        <v>4198</v>
      </c>
      <c r="B2221" s="3" t="s">
        <v>4199</v>
      </c>
      <c r="C2221" s="2"/>
      <c r="D2221" s="2" t="s">
        <v>16</v>
      </c>
      <c r="E2221" s="4">
        <f>375.78*(1-Z1%)</f>
        <v>375.78</v>
      </c>
      <c r="F2221" s="2">
        <v>4</v>
      </c>
      <c r="G2221" s="2"/>
    </row>
    <row r="2222" spans="1:26" customHeight="1" ht="36" hidden="true" outlineLevel="4">
      <c r="A2222" s="2" t="s">
        <v>4200</v>
      </c>
      <c r="B2222" s="3" t="s">
        <v>4201</v>
      </c>
      <c r="C2222" s="2"/>
      <c r="D2222" s="2" t="s">
        <v>16</v>
      </c>
      <c r="E2222" s="4">
        <f>229.56*(1-Z1%)</f>
        <v>229.56</v>
      </c>
      <c r="F2222" s="2">
        <v>1</v>
      </c>
      <c r="G2222" s="2"/>
    </row>
    <row r="2223" spans="1:26" customHeight="1" ht="36" hidden="true" outlineLevel="4">
      <c r="A2223" s="2" t="s">
        <v>4202</v>
      </c>
      <c r="B2223" s="3" t="s">
        <v>4203</v>
      </c>
      <c r="C2223" s="2"/>
      <c r="D2223" s="2" t="s">
        <v>16</v>
      </c>
      <c r="E2223" s="4">
        <f>296.25*(1-Z1%)</f>
        <v>296.25</v>
      </c>
      <c r="F2223" s="2">
        <v>2</v>
      </c>
      <c r="G2223" s="2"/>
    </row>
    <row r="2224" spans="1:26" customHeight="1" ht="18" hidden="true" outlineLevel="4">
      <c r="A2224" s="2" t="s">
        <v>4204</v>
      </c>
      <c r="B2224" s="3" t="s">
        <v>4205</v>
      </c>
      <c r="C2224" s="2"/>
      <c r="D2224" s="2" t="s">
        <v>16</v>
      </c>
      <c r="E2224" s="4">
        <f>159.03*(1-Z1%)</f>
        <v>159.03</v>
      </c>
      <c r="F2224" s="2">
        <v>3</v>
      </c>
      <c r="G2224" s="2"/>
    </row>
    <row r="2225" spans="1:26" customHeight="1" ht="35" hidden="true" outlineLevel="4">
      <c r="A2225" s="5" t="s">
        <v>4206</v>
      </c>
      <c r="B2225" s="5"/>
      <c r="C2225" s="5"/>
      <c r="D2225" s="5"/>
      <c r="E2225" s="5"/>
      <c r="F2225" s="5"/>
      <c r="G2225" s="5"/>
    </row>
    <row r="2226" spans="1:26" customHeight="1" ht="18" hidden="true" outlineLevel="4">
      <c r="A2226" s="2" t="s">
        <v>4207</v>
      </c>
      <c r="B2226" s="3" t="s">
        <v>4208</v>
      </c>
      <c r="C2226" s="2"/>
      <c r="D2226" s="2" t="s">
        <v>16</v>
      </c>
      <c r="E2226" s="4">
        <f>110.14*(1-Z1%)</f>
        <v>110.14</v>
      </c>
      <c r="F2226" s="2">
        <v>3</v>
      </c>
      <c r="G2226" s="2"/>
    </row>
    <row r="2227" spans="1:26" customHeight="1" ht="35" hidden="true" outlineLevel="4">
      <c r="A2227" s="5" t="s">
        <v>4209</v>
      </c>
      <c r="B2227" s="5"/>
      <c r="C2227" s="5"/>
      <c r="D2227" s="5"/>
      <c r="E2227" s="5"/>
      <c r="F2227" s="5"/>
      <c r="G2227" s="5"/>
    </row>
    <row r="2228" spans="1:26" customHeight="1" ht="18" hidden="true" outlineLevel="4">
      <c r="A2228" s="2" t="s">
        <v>4210</v>
      </c>
      <c r="B2228" s="3" t="s">
        <v>4211</v>
      </c>
      <c r="C2228" s="2"/>
      <c r="D2228" s="2" t="s">
        <v>16</v>
      </c>
      <c r="E2228" s="4">
        <f>265.47*(1-Z1%)</f>
        <v>265.47</v>
      </c>
      <c r="F2228" s="2">
        <v>2</v>
      </c>
      <c r="G2228" s="2"/>
    </row>
    <row r="2229" spans="1:26" customHeight="1" ht="18" hidden="true" outlineLevel="4">
      <c r="A2229" s="2" t="s">
        <v>4212</v>
      </c>
      <c r="B2229" s="3" t="s">
        <v>4213</v>
      </c>
      <c r="C2229" s="2"/>
      <c r="D2229" s="2" t="s">
        <v>16</v>
      </c>
      <c r="E2229" s="4">
        <f>153.90*(1-Z1%)</f>
        <v>153.9</v>
      </c>
      <c r="F2229" s="2">
        <v>3</v>
      </c>
      <c r="G2229" s="2"/>
    </row>
    <row r="2230" spans="1:26" customHeight="1" ht="18" hidden="true" outlineLevel="4">
      <c r="A2230" s="2" t="s">
        <v>4214</v>
      </c>
      <c r="B2230" s="3" t="s">
        <v>4215</v>
      </c>
      <c r="C2230" s="2"/>
      <c r="D2230" s="2" t="s">
        <v>16</v>
      </c>
      <c r="E2230" s="4">
        <f>255.21*(1-Z1%)</f>
        <v>255.21</v>
      </c>
      <c r="F2230" s="2">
        <v>6</v>
      </c>
      <c r="G2230" s="2"/>
    </row>
    <row r="2231" spans="1:26" customHeight="1" ht="35" hidden="true" outlineLevel="4">
      <c r="A2231" s="5" t="s">
        <v>4216</v>
      </c>
      <c r="B2231" s="5"/>
      <c r="C2231" s="5"/>
      <c r="D2231" s="5"/>
      <c r="E2231" s="5"/>
      <c r="F2231" s="5"/>
      <c r="G2231" s="5"/>
    </row>
    <row r="2232" spans="1:26" customHeight="1" ht="36" hidden="true" outlineLevel="4">
      <c r="A2232" s="2" t="s">
        <v>4217</v>
      </c>
      <c r="B2232" s="3" t="s">
        <v>4218</v>
      </c>
      <c r="C2232" s="2"/>
      <c r="D2232" s="2" t="s">
        <v>16</v>
      </c>
      <c r="E2232" s="4">
        <f>183.39*(1-Z1%)</f>
        <v>183.39</v>
      </c>
      <c r="F2232" s="2">
        <v>3</v>
      </c>
      <c r="G2232" s="2"/>
    </row>
    <row r="2233" spans="1:26" customHeight="1" ht="18" hidden="true" outlineLevel="4">
      <c r="A2233" s="2" t="s">
        <v>4219</v>
      </c>
      <c r="B2233" s="3" t="s">
        <v>4220</v>
      </c>
      <c r="C2233" s="2"/>
      <c r="D2233" s="2" t="s">
        <v>16</v>
      </c>
      <c r="E2233" s="4">
        <f>203.91*(1-Z1%)</f>
        <v>203.91</v>
      </c>
      <c r="F2233" s="2">
        <v>5</v>
      </c>
      <c r="G2233" s="2"/>
    </row>
    <row r="2234" spans="1:26" customHeight="1" ht="18" hidden="true" outlineLevel="4">
      <c r="A2234" s="2" t="s">
        <v>4221</v>
      </c>
      <c r="B2234" s="3" t="s">
        <v>4222</v>
      </c>
      <c r="C2234" s="2"/>
      <c r="D2234" s="2" t="s">
        <v>16</v>
      </c>
      <c r="E2234" s="4">
        <f>203.91*(1-Z1%)</f>
        <v>203.91</v>
      </c>
      <c r="F2234" s="2">
        <v>4</v>
      </c>
      <c r="G2234" s="2"/>
    </row>
    <row r="2235" spans="1:26" customHeight="1" ht="18" hidden="true" outlineLevel="4">
      <c r="A2235" s="2" t="s">
        <v>4223</v>
      </c>
      <c r="B2235" s="3" t="s">
        <v>4224</v>
      </c>
      <c r="C2235" s="2"/>
      <c r="D2235" s="2" t="s">
        <v>16</v>
      </c>
      <c r="E2235" s="4">
        <f>248.81*(1-Z1%)</f>
        <v>248.81</v>
      </c>
      <c r="F2235" s="2">
        <v>18</v>
      </c>
      <c r="G2235" s="2"/>
    </row>
    <row r="2236" spans="1:26" customHeight="1" ht="18" hidden="true" outlineLevel="4">
      <c r="A2236" s="2" t="s">
        <v>4225</v>
      </c>
      <c r="B2236" s="3" t="s">
        <v>4226</v>
      </c>
      <c r="C2236" s="2"/>
      <c r="D2236" s="2" t="s">
        <v>16</v>
      </c>
      <c r="E2236" s="4">
        <f>219.30*(1-Z1%)</f>
        <v>219.3</v>
      </c>
      <c r="F2236" s="2">
        <v>6</v>
      </c>
      <c r="G2236" s="2"/>
    </row>
    <row r="2237" spans="1:26" customHeight="1" ht="18" hidden="true" outlineLevel="4">
      <c r="A2237" s="2" t="s">
        <v>4227</v>
      </c>
      <c r="B2237" s="3" t="s">
        <v>4228</v>
      </c>
      <c r="C2237" s="2"/>
      <c r="D2237" s="2" t="s">
        <v>16</v>
      </c>
      <c r="E2237" s="4">
        <f>165.45*(1-Z1%)</f>
        <v>165.45</v>
      </c>
      <c r="F2237" s="2">
        <v>6</v>
      </c>
      <c r="G2237" s="2"/>
    </row>
    <row r="2238" spans="1:26" customHeight="1" ht="18" hidden="true" outlineLevel="4">
      <c r="A2238" s="2" t="s">
        <v>4229</v>
      </c>
      <c r="B2238" s="3" t="s">
        <v>4230</v>
      </c>
      <c r="C2238" s="2"/>
      <c r="D2238" s="2" t="s">
        <v>16</v>
      </c>
      <c r="E2238" s="4">
        <f>166.73*(1-Z1%)</f>
        <v>166.73</v>
      </c>
      <c r="F2238" s="2">
        <v>6</v>
      </c>
      <c r="G2238" s="2"/>
    </row>
    <row r="2239" spans="1:26" customHeight="1" ht="36" hidden="true" outlineLevel="4">
      <c r="A2239" s="2" t="s">
        <v>4231</v>
      </c>
      <c r="B2239" s="3" t="s">
        <v>4232</v>
      </c>
      <c r="C2239" s="2"/>
      <c r="D2239" s="2" t="s">
        <v>16</v>
      </c>
      <c r="E2239" s="4">
        <f>166.73*(1-Z1%)</f>
        <v>166.73</v>
      </c>
      <c r="F2239" s="2">
        <v>9</v>
      </c>
      <c r="G2239" s="2"/>
    </row>
    <row r="2240" spans="1:26" customHeight="1" ht="18" hidden="true" outlineLevel="4">
      <c r="A2240" s="2" t="s">
        <v>4233</v>
      </c>
      <c r="B2240" s="3" t="s">
        <v>4234</v>
      </c>
      <c r="C2240" s="2"/>
      <c r="D2240" s="2" t="s">
        <v>16</v>
      </c>
      <c r="E2240" s="4">
        <f>242.40*(1-Z1%)</f>
        <v>242.4</v>
      </c>
      <c r="F2240" s="2">
        <v>4</v>
      </c>
      <c r="G2240" s="2"/>
    </row>
    <row r="2241" spans="1:26" customHeight="1" ht="36" hidden="true" outlineLevel="4">
      <c r="A2241" s="2" t="s">
        <v>4235</v>
      </c>
      <c r="B2241" s="3" t="s">
        <v>4236</v>
      </c>
      <c r="C2241" s="2"/>
      <c r="D2241" s="2" t="s">
        <v>16</v>
      </c>
      <c r="E2241" s="4">
        <f>173.13*(1-Z1%)</f>
        <v>173.13</v>
      </c>
      <c r="F2241" s="2">
        <v>6</v>
      </c>
      <c r="G2241" s="2"/>
    </row>
    <row r="2242" spans="1:26" customHeight="1" ht="36" hidden="true" outlineLevel="4">
      <c r="A2242" s="2" t="s">
        <v>4237</v>
      </c>
      <c r="B2242" s="3" t="s">
        <v>4238</v>
      </c>
      <c r="C2242" s="2"/>
      <c r="D2242" s="2" t="s">
        <v>16</v>
      </c>
      <c r="E2242" s="4">
        <f>157.74*(1-Z1%)</f>
        <v>157.74</v>
      </c>
      <c r="F2242" s="2">
        <v>2</v>
      </c>
      <c r="G2242" s="2"/>
    </row>
    <row r="2243" spans="1:26" customHeight="1" ht="36" hidden="true" outlineLevel="4">
      <c r="A2243" s="2" t="s">
        <v>4239</v>
      </c>
      <c r="B2243" s="3" t="s">
        <v>4240</v>
      </c>
      <c r="C2243" s="2"/>
      <c r="D2243" s="2" t="s">
        <v>16</v>
      </c>
      <c r="E2243" s="4">
        <f>166.73*(1-Z1%)</f>
        <v>166.73</v>
      </c>
      <c r="F2243" s="2">
        <v>2</v>
      </c>
      <c r="G2243" s="2"/>
    </row>
    <row r="2244" spans="1:26" customHeight="1" ht="36" hidden="true" outlineLevel="4">
      <c r="A2244" s="2" t="s">
        <v>4241</v>
      </c>
      <c r="B2244" s="3" t="s">
        <v>4242</v>
      </c>
      <c r="C2244" s="2"/>
      <c r="D2244" s="2" t="s">
        <v>16</v>
      </c>
      <c r="E2244" s="4">
        <f>1368.90*(1-Z1%)</f>
        <v>1368.9</v>
      </c>
      <c r="F2244" s="2">
        <v>2</v>
      </c>
      <c r="G2244" s="2"/>
    </row>
    <row r="2245" spans="1:26" customHeight="1" ht="36" hidden="true" outlineLevel="4">
      <c r="A2245" s="2" t="s">
        <v>4243</v>
      </c>
      <c r="B2245" s="3" t="s">
        <v>4244</v>
      </c>
      <c r="C2245" s="2"/>
      <c r="D2245" s="2" t="s">
        <v>16</v>
      </c>
      <c r="E2245" s="4">
        <f>1485.00*(1-Z1%)</f>
        <v>1485</v>
      </c>
      <c r="F2245" s="2">
        <v>1</v>
      </c>
      <c r="G2245" s="2"/>
    </row>
    <row r="2246" spans="1:26" customHeight="1" ht="36" hidden="true" outlineLevel="4">
      <c r="A2246" s="2" t="s">
        <v>4245</v>
      </c>
      <c r="B2246" s="3" t="s">
        <v>4246</v>
      </c>
      <c r="C2246" s="2"/>
      <c r="D2246" s="2" t="s">
        <v>16</v>
      </c>
      <c r="E2246" s="4">
        <f>551.48*(1-Z1%)</f>
        <v>551.48</v>
      </c>
      <c r="F2246" s="2">
        <v>4</v>
      </c>
      <c r="G2246" s="2"/>
    </row>
    <row r="2247" spans="1:26" customHeight="1" ht="18" hidden="true" outlineLevel="4">
      <c r="A2247" s="2" t="s">
        <v>4247</v>
      </c>
      <c r="B2247" s="3" t="s">
        <v>4248</v>
      </c>
      <c r="C2247" s="2"/>
      <c r="D2247" s="2" t="s">
        <v>16</v>
      </c>
      <c r="E2247" s="4">
        <f>152.61*(1-Z1%)</f>
        <v>152.61</v>
      </c>
      <c r="F2247" s="2">
        <v>20</v>
      </c>
      <c r="G2247" s="2"/>
    </row>
    <row r="2248" spans="1:26" customHeight="1" ht="18" hidden="true" outlineLevel="4">
      <c r="A2248" s="2" t="s">
        <v>4249</v>
      </c>
      <c r="B2248" s="3" t="s">
        <v>4250</v>
      </c>
      <c r="C2248" s="2"/>
      <c r="D2248" s="2" t="s">
        <v>16</v>
      </c>
      <c r="E2248" s="4">
        <f>175.71*(1-Z1%)</f>
        <v>175.71</v>
      </c>
      <c r="F2248" s="2">
        <v>9</v>
      </c>
      <c r="G2248" s="2"/>
    </row>
    <row r="2249" spans="1:26" customHeight="1" ht="18" hidden="true" outlineLevel="4">
      <c r="A2249" s="2" t="s">
        <v>4251</v>
      </c>
      <c r="B2249" s="3" t="s">
        <v>4252</v>
      </c>
      <c r="C2249" s="2"/>
      <c r="D2249" s="2" t="s">
        <v>16</v>
      </c>
      <c r="E2249" s="4">
        <f>141.08*(1-Z1%)</f>
        <v>141.08</v>
      </c>
      <c r="F2249" s="2">
        <v>15</v>
      </c>
      <c r="G2249" s="2"/>
    </row>
    <row r="2250" spans="1:26" customHeight="1" ht="18" hidden="true" outlineLevel="4">
      <c r="A2250" s="2" t="s">
        <v>4253</v>
      </c>
      <c r="B2250" s="3" t="s">
        <v>4254</v>
      </c>
      <c r="C2250" s="2"/>
      <c r="D2250" s="2" t="s">
        <v>16</v>
      </c>
      <c r="E2250" s="4">
        <f>127.34*(1-Z1%)</f>
        <v>127.34</v>
      </c>
      <c r="F2250" s="2">
        <v>1</v>
      </c>
      <c r="G2250" s="2"/>
    </row>
    <row r="2251" spans="1:26" customHeight="1" ht="18" hidden="true" outlineLevel="4">
      <c r="A2251" s="2" t="s">
        <v>4255</v>
      </c>
      <c r="B2251" s="3" t="s">
        <v>4256</v>
      </c>
      <c r="C2251" s="2"/>
      <c r="D2251" s="2" t="s">
        <v>16</v>
      </c>
      <c r="E2251" s="4">
        <f>179.55*(1-Z1%)</f>
        <v>179.55</v>
      </c>
      <c r="F2251" s="2">
        <v>8</v>
      </c>
      <c r="G2251" s="2"/>
    </row>
    <row r="2252" spans="1:26" customHeight="1" ht="18" hidden="true" outlineLevel="4">
      <c r="A2252" s="2" t="s">
        <v>4257</v>
      </c>
      <c r="B2252" s="3" t="s">
        <v>4258</v>
      </c>
      <c r="C2252" s="2"/>
      <c r="D2252" s="2" t="s">
        <v>16</v>
      </c>
      <c r="E2252" s="4">
        <f>78.66*(1-Z1%)</f>
        <v>78.66</v>
      </c>
      <c r="F2252" s="2">
        <v>20</v>
      </c>
      <c r="G2252" s="2"/>
    </row>
    <row r="2253" spans="1:26" customHeight="1" ht="36" hidden="true" outlineLevel="4">
      <c r="A2253" s="2" t="s">
        <v>4259</v>
      </c>
      <c r="B2253" s="3" t="s">
        <v>4260</v>
      </c>
      <c r="C2253" s="2"/>
      <c r="D2253" s="2" t="s">
        <v>16</v>
      </c>
      <c r="E2253" s="4">
        <f>160.32*(1-Z1%)</f>
        <v>160.32</v>
      </c>
      <c r="F2253" s="2">
        <v>4</v>
      </c>
      <c r="G2253" s="2"/>
    </row>
    <row r="2254" spans="1:26" customHeight="1" ht="36" hidden="true" outlineLevel="4">
      <c r="A2254" s="2" t="s">
        <v>4261</v>
      </c>
      <c r="B2254" s="3" t="s">
        <v>4262</v>
      </c>
      <c r="C2254" s="2"/>
      <c r="D2254" s="2" t="s">
        <v>16</v>
      </c>
      <c r="E2254" s="4">
        <f>160.32*(1-Z1%)</f>
        <v>160.32</v>
      </c>
      <c r="F2254" s="2">
        <v>6</v>
      </c>
      <c r="G2254" s="2"/>
    </row>
    <row r="2255" spans="1:26" customHeight="1" ht="36" hidden="true" outlineLevel="4">
      <c r="A2255" s="2" t="s">
        <v>4263</v>
      </c>
      <c r="B2255" s="3" t="s">
        <v>4264</v>
      </c>
      <c r="C2255" s="2"/>
      <c r="D2255" s="2" t="s">
        <v>16</v>
      </c>
      <c r="E2255" s="4">
        <f>150.06*(1-Z1%)</f>
        <v>150.06</v>
      </c>
      <c r="F2255" s="2">
        <v>21</v>
      </c>
      <c r="G2255" s="2"/>
    </row>
    <row r="2256" spans="1:26" customHeight="1" ht="18" hidden="true" outlineLevel="4">
      <c r="A2256" s="2" t="s">
        <v>4265</v>
      </c>
      <c r="B2256" s="3" t="s">
        <v>4266</v>
      </c>
      <c r="C2256" s="2"/>
      <c r="D2256" s="2" t="s">
        <v>16</v>
      </c>
      <c r="E2256" s="4">
        <f>89.78*(1-Z1%)</f>
        <v>89.78</v>
      </c>
      <c r="F2256" s="2">
        <v>10</v>
      </c>
      <c r="G2256" s="2"/>
    </row>
    <row r="2257" spans="1:26" customHeight="1" ht="36" hidden="true" outlineLevel="4">
      <c r="A2257" s="2" t="s">
        <v>4267</v>
      </c>
      <c r="B2257" s="3" t="s">
        <v>4268</v>
      </c>
      <c r="C2257" s="2"/>
      <c r="D2257" s="2" t="s">
        <v>16</v>
      </c>
      <c r="E2257" s="4">
        <f>188.52*(1-Z1%)</f>
        <v>188.52</v>
      </c>
      <c r="F2257" s="2">
        <v>4</v>
      </c>
      <c r="G2257" s="2"/>
    </row>
    <row r="2258" spans="1:26" customHeight="1" ht="36" hidden="true" outlineLevel="4">
      <c r="A2258" s="2" t="s">
        <v>4269</v>
      </c>
      <c r="B2258" s="3" t="s">
        <v>4270</v>
      </c>
      <c r="C2258" s="2"/>
      <c r="D2258" s="2" t="s">
        <v>16</v>
      </c>
      <c r="E2258" s="4">
        <f>230.85*(1-Z1%)</f>
        <v>230.85</v>
      </c>
      <c r="F2258" s="2">
        <v>6</v>
      </c>
      <c r="G2258" s="2"/>
    </row>
    <row r="2259" spans="1:26" customHeight="1" ht="36" hidden="true" outlineLevel="4">
      <c r="A2259" s="2" t="s">
        <v>4271</v>
      </c>
      <c r="B2259" s="3" t="s">
        <v>4272</v>
      </c>
      <c r="C2259" s="2"/>
      <c r="D2259" s="2" t="s">
        <v>16</v>
      </c>
      <c r="E2259" s="4">
        <f>160.32*(1-Z1%)</f>
        <v>160.32</v>
      </c>
      <c r="F2259" s="2">
        <v>10</v>
      </c>
      <c r="G2259" s="2"/>
    </row>
    <row r="2260" spans="1:26" customHeight="1" ht="18" hidden="true" outlineLevel="4">
      <c r="A2260" s="2" t="s">
        <v>4273</v>
      </c>
      <c r="B2260" s="3" t="s">
        <v>4274</v>
      </c>
      <c r="C2260" s="2"/>
      <c r="D2260" s="2" t="s">
        <v>16</v>
      </c>
      <c r="E2260" s="4">
        <f>183.39*(1-Z1%)</f>
        <v>183.39</v>
      </c>
      <c r="F2260" s="2">
        <v>6</v>
      </c>
      <c r="G2260" s="2"/>
    </row>
    <row r="2261" spans="1:26" customHeight="1" ht="36" hidden="true" outlineLevel="4">
      <c r="A2261" s="2" t="s">
        <v>4275</v>
      </c>
      <c r="B2261" s="3" t="s">
        <v>4276</v>
      </c>
      <c r="C2261" s="2"/>
      <c r="D2261" s="2" t="s">
        <v>16</v>
      </c>
      <c r="E2261" s="4">
        <f>209.04*(1-Z1%)</f>
        <v>209.04</v>
      </c>
      <c r="F2261" s="2">
        <v>2</v>
      </c>
      <c r="G2261" s="2"/>
    </row>
    <row r="2262" spans="1:26" customHeight="1" ht="18" hidden="true" outlineLevel="4">
      <c r="A2262" s="2" t="s">
        <v>4277</v>
      </c>
      <c r="B2262" s="3" t="s">
        <v>4278</v>
      </c>
      <c r="C2262" s="2"/>
      <c r="D2262" s="2" t="s">
        <v>16</v>
      </c>
      <c r="E2262" s="4">
        <f>162.45*(1-Z1%)</f>
        <v>162.45</v>
      </c>
      <c r="F2262" s="2">
        <v>9</v>
      </c>
      <c r="G2262" s="2"/>
    </row>
    <row r="2263" spans="1:26" customHeight="1" ht="35" hidden="true" outlineLevel="4">
      <c r="A2263" s="5" t="s">
        <v>4279</v>
      </c>
      <c r="B2263" s="5"/>
      <c r="C2263" s="5"/>
      <c r="D2263" s="5"/>
      <c r="E2263" s="5"/>
      <c r="F2263" s="5"/>
      <c r="G2263" s="5"/>
    </row>
    <row r="2264" spans="1:26" customHeight="1" ht="18" hidden="true" outlineLevel="4">
      <c r="A2264" s="2" t="s">
        <v>4280</v>
      </c>
      <c r="B2264" s="3" t="s">
        <v>4281</v>
      </c>
      <c r="C2264" s="2"/>
      <c r="D2264" s="2" t="s">
        <v>16</v>
      </c>
      <c r="E2264" s="4">
        <f>229.56*(1-Z1%)</f>
        <v>229.56</v>
      </c>
      <c r="F2264" s="2">
        <v>9</v>
      </c>
      <c r="G2264" s="2"/>
    </row>
    <row r="2265" spans="1:26" customHeight="1" ht="18" hidden="true" outlineLevel="4">
      <c r="A2265" s="2" t="s">
        <v>4282</v>
      </c>
      <c r="B2265" s="3" t="s">
        <v>4283</v>
      </c>
      <c r="C2265" s="2"/>
      <c r="D2265" s="2" t="s">
        <v>16</v>
      </c>
      <c r="E2265" s="4">
        <f>229.56*(1-Z1%)</f>
        <v>229.56</v>
      </c>
      <c r="F2265" s="2">
        <v>4</v>
      </c>
      <c r="G2265" s="2"/>
    </row>
    <row r="2266" spans="1:26" customHeight="1" ht="18" hidden="true" outlineLevel="4">
      <c r="A2266" s="2" t="s">
        <v>4284</v>
      </c>
      <c r="B2266" s="3" t="s">
        <v>4285</v>
      </c>
      <c r="C2266" s="2"/>
      <c r="D2266" s="2" t="s">
        <v>16</v>
      </c>
      <c r="E2266" s="4">
        <f>138.71*(1-Z1%)</f>
        <v>138.71</v>
      </c>
      <c r="F2266" s="2">
        <v>1</v>
      </c>
      <c r="G2266" s="2"/>
    </row>
    <row r="2267" spans="1:26" customHeight="1" ht="36" hidden="true" outlineLevel="4">
      <c r="A2267" s="2" t="s">
        <v>4286</v>
      </c>
      <c r="B2267" s="3" t="s">
        <v>4287</v>
      </c>
      <c r="C2267" s="2"/>
      <c r="D2267" s="2" t="s">
        <v>16</v>
      </c>
      <c r="E2267" s="4">
        <f>239.82*(1-Z1%)</f>
        <v>239.82</v>
      </c>
      <c r="F2267" s="2">
        <v>6</v>
      </c>
      <c r="G2267" s="2"/>
    </row>
    <row r="2268" spans="1:26" customHeight="1" ht="18" hidden="true" outlineLevel="4">
      <c r="A2268" s="2" t="s">
        <v>4288</v>
      </c>
      <c r="B2268" s="3" t="s">
        <v>4289</v>
      </c>
      <c r="C2268" s="2"/>
      <c r="D2268" s="2" t="s">
        <v>16</v>
      </c>
      <c r="E2268" s="4">
        <f>140.22*(1-Z1%)</f>
        <v>140.22</v>
      </c>
      <c r="F2268" s="2">
        <v>7</v>
      </c>
      <c r="G2268" s="2"/>
    </row>
    <row r="2269" spans="1:26" customHeight="1" ht="35" hidden="true" outlineLevel="4">
      <c r="A2269" s="5" t="s">
        <v>4290</v>
      </c>
      <c r="B2269" s="5"/>
      <c r="C2269" s="5"/>
      <c r="D2269" s="5"/>
      <c r="E2269" s="5"/>
      <c r="F2269" s="5"/>
      <c r="G2269" s="5"/>
    </row>
    <row r="2270" spans="1:26" customHeight="1" ht="36" hidden="true" outlineLevel="4">
      <c r="A2270" s="2" t="s">
        <v>4291</v>
      </c>
      <c r="B2270" s="3" t="s">
        <v>4292</v>
      </c>
      <c r="C2270" s="2"/>
      <c r="D2270" s="2" t="s">
        <v>16</v>
      </c>
      <c r="E2270" s="4">
        <f>235.98*(1-Z1%)</f>
        <v>235.98</v>
      </c>
      <c r="F2270" s="2">
        <v>9</v>
      </c>
      <c r="G2270" s="2"/>
    </row>
    <row r="2271" spans="1:26" customHeight="1" ht="18" hidden="true" outlineLevel="4">
      <c r="A2271" s="2" t="s">
        <v>4293</v>
      </c>
      <c r="B2271" s="3" t="s">
        <v>4294</v>
      </c>
      <c r="C2271" s="2"/>
      <c r="D2271" s="2" t="s">
        <v>16</v>
      </c>
      <c r="E2271" s="4">
        <f>203.91*(1-Z1%)</f>
        <v>203.91</v>
      </c>
      <c r="F2271" s="2">
        <v>3</v>
      </c>
      <c r="G2271" s="2"/>
    </row>
    <row r="2272" spans="1:26" customHeight="1" ht="18" hidden="true" outlineLevel="4">
      <c r="A2272" s="2" t="s">
        <v>4295</v>
      </c>
      <c r="B2272" s="3" t="s">
        <v>4296</v>
      </c>
      <c r="C2272" s="2"/>
      <c r="D2272" s="2" t="s">
        <v>16</v>
      </c>
      <c r="E2272" s="4">
        <f>246.24*(1-Z1%)</f>
        <v>246.24</v>
      </c>
      <c r="F2272" s="2">
        <v>4</v>
      </c>
      <c r="G2272" s="2"/>
    </row>
    <row r="2273" spans="1:26" customHeight="1" ht="36" hidden="true" outlineLevel="4">
      <c r="A2273" s="2" t="s">
        <v>4297</v>
      </c>
      <c r="B2273" s="3" t="s">
        <v>4298</v>
      </c>
      <c r="C2273" s="2"/>
      <c r="D2273" s="2" t="s">
        <v>16</v>
      </c>
      <c r="E2273" s="4">
        <f>184.68*(1-Z1%)</f>
        <v>184.68</v>
      </c>
      <c r="F2273" s="2">
        <v>3</v>
      </c>
      <c r="G2273" s="2"/>
    </row>
    <row r="2274" spans="1:26" customHeight="1" ht="18" hidden="true" outlineLevel="4">
      <c r="A2274" s="2" t="s">
        <v>4299</v>
      </c>
      <c r="B2274" s="3" t="s">
        <v>4300</v>
      </c>
      <c r="C2274" s="2"/>
      <c r="D2274" s="2" t="s">
        <v>16</v>
      </c>
      <c r="E2274" s="4">
        <f>209.04*(1-Z1%)</f>
        <v>209.04</v>
      </c>
      <c r="F2274" s="2">
        <v>5</v>
      </c>
      <c r="G2274" s="2"/>
    </row>
    <row r="2275" spans="1:26" customHeight="1" ht="18" hidden="true" outlineLevel="4">
      <c r="A2275" s="2" t="s">
        <v>4301</v>
      </c>
      <c r="B2275" s="3" t="s">
        <v>4302</v>
      </c>
      <c r="C2275" s="2"/>
      <c r="D2275" s="2" t="s">
        <v>16</v>
      </c>
      <c r="E2275" s="4">
        <f>227.01*(1-Z1%)</f>
        <v>227.01</v>
      </c>
      <c r="F2275" s="2">
        <v>3</v>
      </c>
      <c r="G2275" s="2"/>
    </row>
    <row r="2276" spans="1:26" customHeight="1" ht="18" hidden="true" outlineLevel="4">
      <c r="A2276" s="2" t="s">
        <v>4303</v>
      </c>
      <c r="B2276" s="3" t="s">
        <v>4304</v>
      </c>
      <c r="C2276" s="2"/>
      <c r="D2276" s="2" t="s">
        <v>16</v>
      </c>
      <c r="E2276" s="4">
        <f>159.03*(1-Z1%)</f>
        <v>159.03</v>
      </c>
      <c r="F2276" s="2">
        <v>5</v>
      </c>
      <c r="G2276" s="2"/>
    </row>
    <row r="2277" spans="1:26" customHeight="1" ht="18" hidden="true" outlineLevel="4">
      <c r="A2277" s="2" t="s">
        <v>4305</v>
      </c>
      <c r="B2277" s="3" t="s">
        <v>4306</v>
      </c>
      <c r="C2277" s="2"/>
      <c r="D2277" s="2" t="s">
        <v>16</v>
      </c>
      <c r="E2277" s="4">
        <f>168.00*(1-Z1%)</f>
        <v>168</v>
      </c>
      <c r="F2277" s="2">
        <v>7</v>
      </c>
      <c r="G2277" s="2"/>
    </row>
    <row r="2278" spans="1:26" customHeight="1" ht="36" hidden="true" outlineLevel="4">
      <c r="A2278" s="2" t="s">
        <v>4307</v>
      </c>
      <c r="B2278" s="3" t="s">
        <v>4308</v>
      </c>
      <c r="C2278" s="2"/>
      <c r="D2278" s="2" t="s">
        <v>16</v>
      </c>
      <c r="E2278" s="4">
        <f>142.35*(1-Z1%)</f>
        <v>142.35</v>
      </c>
      <c r="F2278" s="2">
        <v>4</v>
      </c>
      <c r="G2278" s="2"/>
    </row>
    <row r="2279" spans="1:26" customHeight="1" ht="36" hidden="true" outlineLevel="4">
      <c r="A2279" s="2" t="s">
        <v>4309</v>
      </c>
      <c r="B2279" s="3" t="s">
        <v>4310</v>
      </c>
      <c r="C2279" s="2"/>
      <c r="D2279" s="2" t="s">
        <v>16</v>
      </c>
      <c r="E2279" s="4">
        <f>235.98*(1-Z1%)</f>
        <v>235.98</v>
      </c>
      <c r="F2279" s="2">
        <v>2</v>
      </c>
      <c r="G2279" s="2"/>
    </row>
    <row r="2280" spans="1:26" customHeight="1" ht="36" hidden="true" outlineLevel="4">
      <c r="A2280" s="2" t="s">
        <v>4311</v>
      </c>
      <c r="B2280" s="3" t="s">
        <v>4312</v>
      </c>
      <c r="C2280" s="2"/>
      <c r="D2280" s="2" t="s">
        <v>16</v>
      </c>
      <c r="E2280" s="4">
        <f>242.40*(1-Z1%)</f>
        <v>242.4</v>
      </c>
      <c r="F2280" s="2">
        <v>2</v>
      </c>
      <c r="G2280" s="2"/>
    </row>
    <row r="2281" spans="1:26" customHeight="1" ht="18" hidden="true" outlineLevel="4">
      <c r="A2281" s="2" t="s">
        <v>4313</v>
      </c>
      <c r="B2281" s="3" t="s">
        <v>4314</v>
      </c>
      <c r="C2281" s="2"/>
      <c r="D2281" s="2" t="s">
        <v>16</v>
      </c>
      <c r="E2281" s="4">
        <f>210.33*(1-Z1%)</f>
        <v>210.33</v>
      </c>
      <c r="F2281" s="2">
        <v>1</v>
      </c>
      <c r="G2281" s="2"/>
    </row>
    <row r="2282" spans="1:26" customHeight="1" ht="36" hidden="true" outlineLevel="4">
      <c r="A2282" s="2" t="s">
        <v>4315</v>
      </c>
      <c r="B2282" s="3" t="s">
        <v>4316</v>
      </c>
      <c r="C2282" s="2"/>
      <c r="D2282" s="2" t="s">
        <v>16</v>
      </c>
      <c r="E2282" s="4">
        <f>203.91*(1-Z1%)</f>
        <v>203.91</v>
      </c>
      <c r="F2282" s="2">
        <v>1</v>
      </c>
      <c r="G2282" s="2"/>
    </row>
    <row r="2283" spans="1:26" customHeight="1" ht="18" hidden="true" outlineLevel="4">
      <c r="A2283" s="2" t="s">
        <v>4317</v>
      </c>
      <c r="B2283" s="3" t="s">
        <v>4318</v>
      </c>
      <c r="C2283" s="2"/>
      <c r="D2283" s="2" t="s">
        <v>16</v>
      </c>
      <c r="E2283" s="4">
        <f>146.21*(1-Z1%)</f>
        <v>146.21</v>
      </c>
      <c r="F2283" s="2">
        <v>7</v>
      </c>
      <c r="G2283" s="2"/>
    </row>
    <row r="2284" spans="1:26" customHeight="1" ht="18" hidden="true" outlineLevel="4">
      <c r="A2284" s="2" t="s">
        <v>4319</v>
      </c>
      <c r="B2284" s="3" t="s">
        <v>4320</v>
      </c>
      <c r="C2284" s="2"/>
      <c r="D2284" s="2" t="s">
        <v>16</v>
      </c>
      <c r="E2284" s="4">
        <f>141.08*(1-Z1%)</f>
        <v>141.08</v>
      </c>
      <c r="F2284" s="2">
        <v>8</v>
      </c>
      <c r="G2284" s="2"/>
    </row>
    <row r="2285" spans="1:26" customHeight="1" ht="36" hidden="true" outlineLevel="4">
      <c r="A2285" s="2" t="s">
        <v>4321</v>
      </c>
      <c r="B2285" s="3" t="s">
        <v>4322</v>
      </c>
      <c r="C2285" s="2"/>
      <c r="D2285" s="2" t="s">
        <v>16</v>
      </c>
      <c r="E2285" s="4">
        <f>188.52*(1-Z1%)</f>
        <v>188.52</v>
      </c>
      <c r="F2285" s="2">
        <v>5</v>
      </c>
      <c r="G2285" s="2"/>
    </row>
    <row r="2286" spans="1:26" customHeight="1" ht="36" hidden="true" outlineLevel="4">
      <c r="A2286" s="2" t="s">
        <v>4323</v>
      </c>
      <c r="B2286" s="3" t="s">
        <v>4324</v>
      </c>
      <c r="C2286" s="2"/>
      <c r="D2286" s="2" t="s">
        <v>16</v>
      </c>
      <c r="E2286" s="4">
        <f>191.10*(1-Z1%)</f>
        <v>191.1</v>
      </c>
      <c r="F2286" s="2">
        <v>9</v>
      </c>
      <c r="G2286" s="2"/>
    </row>
    <row r="2287" spans="1:26" customHeight="1" ht="18" hidden="true" outlineLevel="4">
      <c r="A2287" s="2" t="s">
        <v>4325</v>
      </c>
      <c r="B2287" s="3" t="s">
        <v>4326</v>
      </c>
      <c r="C2287" s="2"/>
      <c r="D2287" s="2" t="s">
        <v>16</v>
      </c>
      <c r="E2287" s="4">
        <f>176.21*(1-Z1%)</f>
        <v>176.21</v>
      </c>
      <c r="F2287" s="2">
        <v>1</v>
      </c>
      <c r="G2287" s="2"/>
    </row>
    <row r="2288" spans="1:26" customHeight="1" ht="35" hidden="true" outlineLevel="4">
      <c r="A2288" s="5" t="s">
        <v>4327</v>
      </c>
      <c r="B2288" s="5"/>
      <c r="C2288" s="5"/>
      <c r="D2288" s="5"/>
      <c r="E2288" s="5"/>
      <c r="F2288" s="5"/>
      <c r="G2288" s="5"/>
    </row>
    <row r="2289" spans="1:26" customHeight="1" ht="54" hidden="true" outlineLevel="4">
      <c r="A2289" s="2" t="s">
        <v>4328</v>
      </c>
      <c r="B2289" s="3" t="s">
        <v>4329</v>
      </c>
      <c r="C2289" s="2"/>
      <c r="D2289" s="2" t="s">
        <v>16</v>
      </c>
      <c r="E2289" s="4">
        <f>223.37*(1-Z1%)</f>
        <v>223.37</v>
      </c>
      <c r="F2289" s="2">
        <v>6</v>
      </c>
      <c r="G2289" s="2"/>
    </row>
    <row r="2290" spans="1:26" customHeight="1" ht="54" hidden="true" outlineLevel="4">
      <c r="A2290" s="2" t="s">
        <v>4330</v>
      </c>
      <c r="B2290" s="3" t="s">
        <v>4331</v>
      </c>
      <c r="C2290" s="2"/>
      <c r="D2290" s="2" t="s">
        <v>16</v>
      </c>
      <c r="E2290" s="4">
        <f>157.32*(1-Z1%)</f>
        <v>157.32</v>
      </c>
      <c r="F2290" s="2">
        <v>25</v>
      </c>
      <c r="G2290" s="2"/>
    </row>
    <row r="2291" spans="1:26" customHeight="1" ht="36" hidden="true" outlineLevel="4">
      <c r="A2291" s="2" t="s">
        <v>4332</v>
      </c>
      <c r="B2291" s="3" t="s">
        <v>4333</v>
      </c>
      <c r="C2291" s="2"/>
      <c r="D2291" s="2" t="s">
        <v>16</v>
      </c>
      <c r="E2291" s="4">
        <f>183.39*(1-Z1%)</f>
        <v>183.39</v>
      </c>
      <c r="F2291" s="2">
        <v>1</v>
      </c>
      <c r="G2291" s="2"/>
    </row>
    <row r="2292" spans="1:26" customHeight="1" ht="18" hidden="true" outlineLevel="4">
      <c r="A2292" s="2" t="s">
        <v>4334</v>
      </c>
      <c r="B2292" s="3" t="s">
        <v>4335</v>
      </c>
      <c r="C2292" s="2"/>
      <c r="D2292" s="2" t="s">
        <v>16</v>
      </c>
      <c r="E2292" s="4">
        <f>216.75*(1-Z1%)</f>
        <v>216.75</v>
      </c>
      <c r="F2292" s="2">
        <v>6</v>
      </c>
      <c r="G2292" s="2"/>
    </row>
    <row r="2293" spans="1:26" customHeight="1" ht="18" hidden="true" outlineLevel="4">
      <c r="A2293" s="2" t="s">
        <v>4336</v>
      </c>
      <c r="B2293" s="3" t="s">
        <v>4337</v>
      </c>
      <c r="C2293" s="2"/>
      <c r="D2293" s="2" t="s">
        <v>16</v>
      </c>
      <c r="E2293" s="4">
        <f>143.64*(1-Z1%)</f>
        <v>143.64</v>
      </c>
      <c r="F2293" s="2">
        <v>5</v>
      </c>
      <c r="G2293" s="2"/>
    </row>
    <row r="2294" spans="1:26" customHeight="1" ht="18" hidden="true" outlineLevel="4">
      <c r="A2294" s="2" t="s">
        <v>4338</v>
      </c>
      <c r="B2294" s="3" t="s">
        <v>4339</v>
      </c>
      <c r="C2294" s="2"/>
      <c r="D2294" s="2" t="s">
        <v>16</v>
      </c>
      <c r="E2294" s="4">
        <f>146.21*(1-Z1%)</f>
        <v>146.21</v>
      </c>
      <c r="F2294" s="2">
        <v>5</v>
      </c>
      <c r="G2294" s="2"/>
    </row>
    <row r="2295" spans="1:26" customHeight="1" ht="35" hidden="true" outlineLevel="4">
      <c r="A2295" s="5" t="s">
        <v>4340</v>
      </c>
      <c r="B2295" s="5"/>
      <c r="C2295" s="5"/>
      <c r="D2295" s="5"/>
      <c r="E2295" s="5"/>
      <c r="F2295" s="5"/>
      <c r="G2295" s="5"/>
    </row>
    <row r="2296" spans="1:26" customHeight="1" ht="18" hidden="true" outlineLevel="4">
      <c r="A2296" s="2" t="s">
        <v>4341</v>
      </c>
      <c r="B2296" s="3" t="s">
        <v>4342</v>
      </c>
      <c r="C2296" s="2"/>
      <c r="D2296" s="2" t="s">
        <v>16</v>
      </c>
      <c r="E2296" s="4">
        <f>168.00*(1-Z1%)</f>
        <v>168</v>
      </c>
      <c r="F2296" s="2">
        <v>3</v>
      </c>
      <c r="G2296" s="2"/>
    </row>
    <row r="2297" spans="1:26" customHeight="1" ht="18" hidden="true" outlineLevel="4">
      <c r="A2297" s="2" t="s">
        <v>4343</v>
      </c>
      <c r="B2297" s="3" t="s">
        <v>4344</v>
      </c>
      <c r="C2297" s="2"/>
      <c r="D2297" s="2" t="s">
        <v>16</v>
      </c>
      <c r="E2297" s="4">
        <f>166.73*(1-Z1%)</f>
        <v>166.73</v>
      </c>
      <c r="F2297" s="2">
        <v>2</v>
      </c>
      <c r="G2297" s="2"/>
    </row>
    <row r="2298" spans="1:26" customHeight="1" ht="18" hidden="true" outlineLevel="4">
      <c r="A2298" s="2" t="s">
        <v>4345</v>
      </c>
      <c r="B2298" s="3" t="s">
        <v>4346</v>
      </c>
      <c r="C2298" s="2"/>
      <c r="D2298" s="2" t="s">
        <v>16</v>
      </c>
      <c r="E2298" s="4">
        <f>179.55*(1-Z1%)</f>
        <v>179.55</v>
      </c>
      <c r="F2298" s="2">
        <v>9</v>
      </c>
      <c r="G2298" s="2"/>
    </row>
    <row r="2299" spans="1:26" customHeight="1" ht="36" hidden="true" outlineLevel="4">
      <c r="A2299" s="2" t="s">
        <v>4347</v>
      </c>
      <c r="B2299" s="3" t="s">
        <v>4348</v>
      </c>
      <c r="C2299" s="2"/>
      <c r="D2299" s="2" t="s">
        <v>16</v>
      </c>
      <c r="E2299" s="4">
        <f>185.97*(1-Z1%)</f>
        <v>185.97</v>
      </c>
      <c r="F2299" s="2">
        <v>8</v>
      </c>
      <c r="G2299" s="2"/>
    </row>
    <row r="2300" spans="1:26" customHeight="1" ht="36" hidden="true" outlineLevel="4">
      <c r="A2300" s="2" t="s">
        <v>4349</v>
      </c>
      <c r="B2300" s="3" t="s">
        <v>4350</v>
      </c>
      <c r="C2300" s="2"/>
      <c r="D2300" s="2" t="s">
        <v>16</v>
      </c>
      <c r="E2300" s="4">
        <f>221.88*(1-Z1%)</f>
        <v>221.88</v>
      </c>
      <c r="F2300" s="2">
        <v>3</v>
      </c>
      <c r="G2300" s="2"/>
    </row>
    <row r="2301" spans="1:26" customHeight="1" ht="18" hidden="true" outlineLevel="4">
      <c r="A2301" s="2" t="s">
        <v>4351</v>
      </c>
      <c r="B2301" s="3" t="s">
        <v>4352</v>
      </c>
      <c r="C2301" s="2"/>
      <c r="D2301" s="2" t="s">
        <v>16</v>
      </c>
      <c r="E2301" s="4">
        <f>234.69*(1-Z1%)</f>
        <v>234.69</v>
      </c>
      <c r="F2301" s="2">
        <v>8</v>
      </c>
      <c r="G2301" s="2"/>
    </row>
    <row r="2302" spans="1:26" customHeight="1" ht="18" hidden="true" outlineLevel="4">
      <c r="A2302" s="2" t="s">
        <v>4353</v>
      </c>
      <c r="B2302" s="3" t="s">
        <v>4354</v>
      </c>
      <c r="C2302" s="2"/>
      <c r="D2302" s="2" t="s">
        <v>16</v>
      </c>
      <c r="E2302" s="4">
        <f>165.45*(1-Z1%)</f>
        <v>165.45</v>
      </c>
      <c r="F2302" s="2">
        <v>4</v>
      </c>
      <c r="G2302" s="2"/>
    </row>
    <row r="2303" spans="1:26" customHeight="1" ht="36" hidden="true" outlineLevel="4">
      <c r="A2303" s="2" t="s">
        <v>4355</v>
      </c>
      <c r="B2303" s="3" t="s">
        <v>4356</v>
      </c>
      <c r="C2303" s="2"/>
      <c r="D2303" s="2" t="s">
        <v>16</v>
      </c>
      <c r="E2303" s="4">
        <f>1019.58*(1-Z1%)</f>
        <v>1019.58</v>
      </c>
      <c r="F2303" s="2">
        <v>5</v>
      </c>
      <c r="G2303" s="2"/>
    </row>
    <row r="2304" spans="1:26" customHeight="1" ht="54" hidden="true" outlineLevel="4">
      <c r="A2304" s="2" t="s">
        <v>4357</v>
      </c>
      <c r="B2304" s="3" t="s">
        <v>4358</v>
      </c>
      <c r="C2304" s="2"/>
      <c r="D2304" s="2" t="s">
        <v>16</v>
      </c>
      <c r="E2304" s="4">
        <f>1500.53*(1-Z1%)</f>
        <v>1500.53</v>
      </c>
      <c r="F2304" s="2">
        <v>5</v>
      </c>
      <c r="G2304" s="2"/>
    </row>
    <row r="2305" spans="1:26" customHeight="1" ht="36" hidden="true" outlineLevel="4">
      <c r="A2305" s="2" t="s">
        <v>4359</v>
      </c>
      <c r="B2305" s="3" t="s">
        <v>4360</v>
      </c>
      <c r="C2305" s="2"/>
      <c r="D2305" s="2" t="s">
        <v>16</v>
      </c>
      <c r="E2305" s="4">
        <f>1154.25*(1-Z1%)</f>
        <v>1154.25</v>
      </c>
      <c r="F2305" s="2">
        <v>5</v>
      </c>
      <c r="G2305" s="2"/>
    </row>
    <row r="2306" spans="1:26" customHeight="1" ht="36" hidden="true" outlineLevel="4">
      <c r="A2306" s="2" t="s">
        <v>4361</v>
      </c>
      <c r="B2306" s="3" t="s">
        <v>4362</v>
      </c>
      <c r="C2306" s="2"/>
      <c r="D2306" s="2" t="s">
        <v>16</v>
      </c>
      <c r="E2306" s="4">
        <f>444.60*(1-Z1%)</f>
        <v>444.6</v>
      </c>
      <c r="F2306" s="2">
        <v>1</v>
      </c>
      <c r="G2306" s="2"/>
    </row>
    <row r="2307" spans="1:26" customHeight="1" ht="36" hidden="true" outlineLevel="4">
      <c r="A2307" s="2" t="s">
        <v>4363</v>
      </c>
      <c r="B2307" s="3" t="s">
        <v>4364</v>
      </c>
      <c r="C2307" s="2"/>
      <c r="D2307" s="2" t="s">
        <v>16</v>
      </c>
      <c r="E2307" s="4">
        <f>1269.68*(1-Z1%)</f>
        <v>1269.68</v>
      </c>
      <c r="F2307" s="2">
        <v>4</v>
      </c>
      <c r="G2307" s="2"/>
    </row>
    <row r="2308" spans="1:26" customHeight="1" ht="36" hidden="true" outlineLevel="4">
      <c r="A2308" s="2" t="s">
        <v>4365</v>
      </c>
      <c r="B2308" s="3" t="s">
        <v>4366</v>
      </c>
      <c r="C2308" s="2"/>
      <c r="D2308" s="2" t="s">
        <v>16</v>
      </c>
      <c r="E2308" s="4">
        <f>1282.50*(1-Z1%)</f>
        <v>1282.5</v>
      </c>
      <c r="F2308" s="2">
        <v>2</v>
      </c>
      <c r="G2308" s="2"/>
    </row>
    <row r="2309" spans="1:26" customHeight="1" ht="36" hidden="true" outlineLevel="4">
      <c r="A2309" s="2" t="s">
        <v>4367</v>
      </c>
      <c r="B2309" s="3" t="s">
        <v>4368</v>
      </c>
      <c r="C2309" s="2"/>
      <c r="D2309" s="2" t="s">
        <v>16</v>
      </c>
      <c r="E2309" s="4">
        <f>128.25*(1-Z1%)</f>
        <v>128.25</v>
      </c>
      <c r="F2309" s="2">
        <v>17</v>
      </c>
      <c r="G2309" s="2"/>
    </row>
    <row r="2310" spans="1:26" customHeight="1" ht="36" hidden="true" outlineLevel="4">
      <c r="A2310" s="2" t="s">
        <v>4369</v>
      </c>
      <c r="B2310" s="3" t="s">
        <v>4370</v>
      </c>
      <c r="C2310" s="2"/>
      <c r="D2310" s="2" t="s">
        <v>16</v>
      </c>
      <c r="E2310" s="4">
        <f>128.25*(1-Z1%)</f>
        <v>128.25</v>
      </c>
      <c r="F2310" s="2">
        <v>6</v>
      </c>
      <c r="G2310" s="2"/>
    </row>
    <row r="2311" spans="1:26" customHeight="1" ht="36" hidden="true" outlineLevel="4">
      <c r="A2311" s="2" t="s">
        <v>4371</v>
      </c>
      <c r="B2311" s="3" t="s">
        <v>4372</v>
      </c>
      <c r="C2311" s="2"/>
      <c r="D2311" s="2" t="s">
        <v>16</v>
      </c>
      <c r="E2311" s="4">
        <f>216.75*(1-Z1%)</f>
        <v>216.75</v>
      </c>
      <c r="F2311" s="2">
        <v>4</v>
      </c>
      <c r="G2311" s="2"/>
    </row>
    <row r="2312" spans="1:26" customHeight="1" ht="36" hidden="true" outlineLevel="4">
      <c r="A2312" s="2" t="s">
        <v>4373</v>
      </c>
      <c r="B2312" s="3" t="s">
        <v>4374</v>
      </c>
      <c r="C2312" s="2"/>
      <c r="D2312" s="2" t="s">
        <v>16</v>
      </c>
      <c r="E2312" s="4">
        <f>185.97*(1-Z1%)</f>
        <v>185.97</v>
      </c>
      <c r="F2312" s="2">
        <v>7</v>
      </c>
      <c r="G2312" s="2"/>
    </row>
    <row r="2313" spans="1:26" customHeight="1" ht="36" hidden="true" outlineLevel="4">
      <c r="A2313" s="2" t="s">
        <v>4375</v>
      </c>
      <c r="B2313" s="3" t="s">
        <v>4376</v>
      </c>
      <c r="C2313" s="2"/>
      <c r="D2313" s="2" t="s">
        <v>16</v>
      </c>
      <c r="E2313" s="4">
        <f>111.15*(1-Z1%)</f>
        <v>111.15</v>
      </c>
      <c r="F2313" s="2">
        <v>5</v>
      </c>
      <c r="G2313" s="2"/>
    </row>
    <row r="2314" spans="1:26" customHeight="1" ht="36" hidden="true" outlineLevel="4">
      <c r="A2314" s="2" t="s">
        <v>4377</v>
      </c>
      <c r="B2314" s="3" t="s">
        <v>4378</v>
      </c>
      <c r="C2314" s="2"/>
      <c r="D2314" s="2" t="s">
        <v>16</v>
      </c>
      <c r="E2314" s="4">
        <f>201.36*(1-Z1%)</f>
        <v>201.36</v>
      </c>
      <c r="F2314" s="2">
        <v>2</v>
      </c>
      <c r="G2314" s="2"/>
    </row>
    <row r="2315" spans="1:26" customHeight="1" ht="36" hidden="true" outlineLevel="4">
      <c r="A2315" s="2" t="s">
        <v>4379</v>
      </c>
      <c r="B2315" s="3" t="s">
        <v>4380</v>
      </c>
      <c r="C2315" s="2"/>
      <c r="D2315" s="2" t="s">
        <v>16</v>
      </c>
      <c r="E2315" s="4">
        <f>1205.55*(1-Z1%)</f>
        <v>1205.55</v>
      </c>
      <c r="F2315" s="2">
        <v>5</v>
      </c>
      <c r="G2315" s="2"/>
    </row>
    <row r="2316" spans="1:26" customHeight="1" ht="36" hidden="true" outlineLevel="4">
      <c r="A2316" s="2" t="s">
        <v>4381</v>
      </c>
      <c r="B2316" s="3" t="s">
        <v>4382</v>
      </c>
      <c r="C2316" s="2"/>
      <c r="D2316" s="2" t="s">
        <v>16</v>
      </c>
      <c r="E2316" s="4">
        <f>1122.18*(1-Z1%)</f>
        <v>1122.18</v>
      </c>
      <c r="F2316" s="2">
        <v>4</v>
      </c>
      <c r="G2316" s="2"/>
    </row>
    <row r="2317" spans="1:26" customHeight="1" ht="36" hidden="true" outlineLevel="4">
      <c r="A2317" s="2" t="s">
        <v>4383</v>
      </c>
      <c r="B2317" s="3" t="s">
        <v>4384</v>
      </c>
      <c r="C2317" s="2"/>
      <c r="D2317" s="2" t="s">
        <v>16</v>
      </c>
      <c r="E2317" s="4">
        <f>118.85*(1-Z1%)</f>
        <v>118.85</v>
      </c>
      <c r="F2317" s="2">
        <v>5</v>
      </c>
      <c r="G2317" s="2"/>
    </row>
    <row r="2318" spans="1:26" customHeight="1" ht="36" hidden="true" outlineLevel="4">
      <c r="A2318" s="2" t="s">
        <v>4385</v>
      </c>
      <c r="B2318" s="3" t="s">
        <v>4386</v>
      </c>
      <c r="C2318" s="2"/>
      <c r="D2318" s="2" t="s">
        <v>16</v>
      </c>
      <c r="E2318" s="4">
        <f>106.88*(1-Z1%)</f>
        <v>106.88</v>
      </c>
      <c r="F2318" s="2">
        <v>1</v>
      </c>
      <c r="G2318" s="2"/>
    </row>
    <row r="2319" spans="1:26" customHeight="1" ht="36" hidden="true" outlineLevel="4">
      <c r="A2319" s="2" t="s">
        <v>4387</v>
      </c>
      <c r="B2319" s="3" t="s">
        <v>4388</v>
      </c>
      <c r="C2319" s="2"/>
      <c r="D2319" s="2" t="s">
        <v>16</v>
      </c>
      <c r="E2319" s="4">
        <f>94.91*(1-Z1%)</f>
        <v>94.91</v>
      </c>
      <c r="F2319" s="2">
        <v>10</v>
      </c>
      <c r="G2319" s="2"/>
    </row>
    <row r="2320" spans="1:26" customHeight="1" ht="36" hidden="true" outlineLevel="4">
      <c r="A2320" s="2" t="s">
        <v>4389</v>
      </c>
      <c r="B2320" s="3" t="s">
        <v>4390</v>
      </c>
      <c r="C2320" s="2"/>
      <c r="D2320" s="2" t="s">
        <v>16</v>
      </c>
      <c r="E2320" s="4">
        <f>122.06*(1-Z1%)</f>
        <v>122.06</v>
      </c>
      <c r="F2320" s="2">
        <v>6</v>
      </c>
      <c r="G2320" s="2"/>
    </row>
    <row r="2321" spans="1:26" customHeight="1" ht="36" hidden="true" outlineLevel="4">
      <c r="A2321" s="2" t="s">
        <v>4391</v>
      </c>
      <c r="B2321" s="3" t="s">
        <v>4392</v>
      </c>
      <c r="C2321" s="2"/>
      <c r="D2321" s="2" t="s">
        <v>16</v>
      </c>
      <c r="E2321" s="4">
        <f>203.91*(1-Z1%)</f>
        <v>203.91</v>
      </c>
      <c r="F2321" s="2">
        <v>4</v>
      </c>
      <c r="G2321" s="2"/>
    </row>
    <row r="2322" spans="1:26" customHeight="1" ht="36" hidden="true" outlineLevel="4">
      <c r="A2322" s="2" t="s">
        <v>4393</v>
      </c>
      <c r="B2322" s="3" t="s">
        <v>4394</v>
      </c>
      <c r="C2322" s="2"/>
      <c r="D2322" s="2" t="s">
        <v>16</v>
      </c>
      <c r="E2322" s="4">
        <f>296.25*(1-Z1%)</f>
        <v>296.25</v>
      </c>
      <c r="F2322" s="2">
        <v>4</v>
      </c>
      <c r="G2322" s="2"/>
    </row>
    <row r="2323" spans="1:26" customHeight="1" ht="36" hidden="true" outlineLevel="4">
      <c r="A2323" s="2" t="s">
        <v>4395</v>
      </c>
      <c r="B2323" s="3" t="s">
        <v>4396</v>
      </c>
      <c r="C2323" s="2"/>
      <c r="D2323" s="2" t="s">
        <v>16</v>
      </c>
      <c r="E2323" s="4">
        <f>203.91*(1-Z1%)</f>
        <v>203.91</v>
      </c>
      <c r="F2323" s="2">
        <v>9</v>
      </c>
      <c r="G2323" s="2"/>
    </row>
    <row r="2324" spans="1:26" customHeight="1" ht="36" hidden="true" outlineLevel="4">
      <c r="A2324" s="2" t="s">
        <v>4397</v>
      </c>
      <c r="B2324" s="3" t="s">
        <v>4398</v>
      </c>
      <c r="C2324" s="2"/>
      <c r="D2324" s="2" t="s">
        <v>16</v>
      </c>
      <c r="E2324" s="4">
        <f>162.50*(1-Z1%)</f>
        <v>162.5</v>
      </c>
      <c r="F2324" s="2">
        <v>1</v>
      </c>
      <c r="G2324" s="2"/>
    </row>
    <row r="2325" spans="1:26" customHeight="1" ht="36" hidden="true" outlineLevel="4">
      <c r="A2325" s="2" t="s">
        <v>4399</v>
      </c>
      <c r="B2325" s="3" t="s">
        <v>4400</v>
      </c>
      <c r="C2325" s="2"/>
      <c r="D2325" s="2" t="s">
        <v>16</v>
      </c>
      <c r="E2325" s="4">
        <f>339.87*(1-Z1%)</f>
        <v>339.87</v>
      </c>
      <c r="F2325" s="2">
        <v>6</v>
      </c>
      <c r="G2325" s="2"/>
    </row>
    <row r="2326" spans="1:26" customHeight="1" ht="18" hidden="true" outlineLevel="4">
      <c r="A2326" s="2" t="s">
        <v>4401</v>
      </c>
      <c r="B2326" s="3" t="s">
        <v>4402</v>
      </c>
      <c r="C2326" s="2"/>
      <c r="D2326" s="2" t="s">
        <v>16</v>
      </c>
      <c r="E2326" s="4">
        <f>89.78*(1-Z1%)</f>
        <v>89.78</v>
      </c>
      <c r="F2326" s="2">
        <v>11</v>
      </c>
      <c r="G2326" s="2"/>
    </row>
    <row r="2327" spans="1:26" customHeight="1" ht="36" hidden="true" outlineLevel="4">
      <c r="A2327" s="2" t="s">
        <v>4403</v>
      </c>
      <c r="B2327" s="3" t="s">
        <v>4404</v>
      </c>
      <c r="C2327" s="2"/>
      <c r="D2327" s="2" t="s">
        <v>16</v>
      </c>
      <c r="E2327" s="4">
        <f>166.73*(1-Z1%)</f>
        <v>166.73</v>
      </c>
      <c r="F2327" s="2">
        <v>2</v>
      </c>
      <c r="G2327" s="2"/>
    </row>
    <row r="2328" spans="1:26" customHeight="1" ht="36" hidden="true" outlineLevel="4">
      <c r="A2328" s="2" t="s">
        <v>4405</v>
      </c>
      <c r="B2328" s="3" t="s">
        <v>4406</v>
      </c>
      <c r="C2328" s="2"/>
      <c r="D2328" s="2" t="s">
        <v>16</v>
      </c>
      <c r="E2328" s="4">
        <f>164.55*(1-Z1%)</f>
        <v>164.55</v>
      </c>
      <c r="F2328" s="2">
        <v>2</v>
      </c>
      <c r="G2328" s="2"/>
    </row>
    <row r="2329" spans="1:26" customHeight="1" ht="18" hidden="true" outlineLevel="4">
      <c r="A2329" s="2" t="s">
        <v>4407</v>
      </c>
      <c r="B2329" s="3" t="s">
        <v>4408</v>
      </c>
      <c r="C2329" s="2"/>
      <c r="D2329" s="2" t="s">
        <v>16</v>
      </c>
      <c r="E2329" s="4">
        <f>159.03*(1-Z1%)</f>
        <v>159.03</v>
      </c>
      <c r="F2329" s="2">
        <v>2</v>
      </c>
      <c r="G2329" s="2"/>
    </row>
    <row r="2330" spans="1:26" customHeight="1" ht="35" hidden="true" outlineLevel="4">
      <c r="A2330" s="5" t="s">
        <v>4409</v>
      </c>
      <c r="B2330" s="5"/>
      <c r="C2330" s="5"/>
      <c r="D2330" s="5"/>
      <c r="E2330" s="5"/>
      <c r="F2330" s="5"/>
      <c r="G2330" s="5"/>
    </row>
    <row r="2331" spans="1:26" customHeight="1" ht="36" hidden="true" outlineLevel="4">
      <c r="A2331" s="2" t="s">
        <v>4410</v>
      </c>
      <c r="B2331" s="3" t="s">
        <v>4411</v>
      </c>
      <c r="C2331" s="2"/>
      <c r="D2331" s="2" t="s">
        <v>16</v>
      </c>
      <c r="E2331" s="4">
        <f>229.56*(1-Z1%)</f>
        <v>229.56</v>
      </c>
      <c r="F2331" s="2">
        <v>12</v>
      </c>
      <c r="G2331" s="2"/>
    </row>
    <row r="2332" spans="1:26" customHeight="1" ht="18" hidden="true" outlineLevel="4">
      <c r="A2332" s="2" t="s">
        <v>4412</v>
      </c>
      <c r="B2332" s="3" t="s">
        <v>4413</v>
      </c>
      <c r="C2332" s="2"/>
      <c r="D2332" s="2" t="s">
        <v>16</v>
      </c>
      <c r="E2332" s="4">
        <f>82.42*(1-Z1%)</f>
        <v>82.42</v>
      </c>
      <c r="F2332" s="2">
        <v>1</v>
      </c>
      <c r="G2332" s="2"/>
    </row>
    <row r="2333" spans="1:26" customHeight="1" ht="35" hidden="true" outlineLevel="4">
      <c r="A2333" s="5" t="s">
        <v>4414</v>
      </c>
      <c r="B2333" s="5"/>
      <c r="C2333" s="5"/>
      <c r="D2333" s="5"/>
      <c r="E2333" s="5"/>
      <c r="F2333" s="5"/>
      <c r="G2333" s="5"/>
    </row>
    <row r="2334" spans="1:26" customHeight="1" ht="36" hidden="true" outlineLevel="4">
      <c r="A2334" s="2" t="s">
        <v>4415</v>
      </c>
      <c r="B2334" s="3" t="s">
        <v>4416</v>
      </c>
      <c r="C2334" s="2"/>
      <c r="D2334" s="2" t="s">
        <v>16</v>
      </c>
      <c r="E2334" s="4">
        <f>173.13*(1-Z1%)</f>
        <v>173.13</v>
      </c>
      <c r="F2334" s="2">
        <v>2</v>
      </c>
      <c r="G2334" s="2"/>
    </row>
    <row r="2335" spans="1:26" customHeight="1" ht="18" hidden="true" outlineLevel="4">
      <c r="A2335" s="2" t="s">
        <v>4417</v>
      </c>
      <c r="B2335" s="3" t="s">
        <v>4418</v>
      </c>
      <c r="C2335" s="2"/>
      <c r="D2335" s="2" t="s">
        <v>16</v>
      </c>
      <c r="E2335" s="4">
        <f>178.26*(1-Z1%)</f>
        <v>178.26</v>
      </c>
      <c r="F2335" s="2">
        <v>5</v>
      </c>
      <c r="G2335" s="2"/>
    </row>
    <row r="2336" spans="1:26" customHeight="1" ht="18" hidden="true" outlineLevel="4">
      <c r="A2336" s="2" t="s">
        <v>4419</v>
      </c>
      <c r="B2336" s="3" t="s">
        <v>4420</v>
      </c>
      <c r="C2336" s="2"/>
      <c r="D2336" s="2" t="s">
        <v>16</v>
      </c>
      <c r="E2336" s="4">
        <f>234.69*(1-Z1%)</f>
        <v>234.69</v>
      </c>
      <c r="F2336" s="2">
        <v>6</v>
      </c>
      <c r="G2336" s="2"/>
    </row>
    <row r="2337" spans="1:26" customHeight="1" ht="35" hidden="true" outlineLevel="4">
      <c r="A2337" s="5" t="s">
        <v>4421</v>
      </c>
      <c r="B2337" s="5"/>
      <c r="C2337" s="5"/>
      <c r="D2337" s="5"/>
      <c r="E2337" s="5"/>
      <c r="F2337" s="5"/>
      <c r="G2337" s="5"/>
    </row>
    <row r="2338" spans="1:26" customHeight="1" ht="18" hidden="true" outlineLevel="4">
      <c r="A2338" s="2" t="s">
        <v>4422</v>
      </c>
      <c r="B2338" s="3" t="s">
        <v>4423</v>
      </c>
      <c r="C2338" s="2"/>
      <c r="D2338" s="2" t="s">
        <v>16</v>
      </c>
      <c r="E2338" s="4">
        <f>160.32*(1-Z1%)</f>
        <v>160.32</v>
      </c>
      <c r="F2338" s="2">
        <v>3</v>
      </c>
      <c r="G2338" s="2"/>
    </row>
    <row r="2339" spans="1:26" customHeight="1" ht="18" hidden="true" outlineLevel="4">
      <c r="A2339" s="2" t="s">
        <v>4424</v>
      </c>
      <c r="B2339" s="3" t="s">
        <v>4425</v>
      </c>
      <c r="C2339" s="2"/>
      <c r="D2339" s="2" t="s">
        <v>16</v>
      </c>
      <c r="E2339" s="4">
        <f>178.68*(1-Z1%)</f>
        <v>178.68</v>
      </c>
      <c r="F2339" s="2">
        <v>8</v>
      </c>
      <c r="G2339" s="2"/>
    </row>
    <row r="2340" spans="1:26" customHeight="1" ht="36" hidden="true" outlineLevel="4">
      <c r="A2340" s="2" t="s">
        <v>4426</v>
      </c>
      <c r="B2340" s="3" t="s">
        <v>4427</v>
      </c>
      <c r="C2340" s="2"/>
      <c r="D2340" s="2" t="s">
        <v>16</v>
      </c>
      <c r="E2340" s="4">
        <f>192.62*(1-Z1%)</f>
        <v>192.62</v>
      </c>
      <c r="F2340" s="2">
        <v>4</v>
      </c>
      <c r="G2340" s="2"/>
    </row>
    <row r="2341" spans="1:26" customHeight="1" ht="36" hidden="true" outlineLevel="4">
      <c r="A2341" s="2" t="s">
        <v>4428</v>
      </c>
      <c r="B2341" s="3" t="s">
        <v>4429</v>
      </c>
      <c r="C2341" s="2"/>
      <c r="D2341" s="2" t="s">
        <v>16</v>
      </c>
      <c r="E2341" s="4">
        <f>192.38*(1-Z1%)</f>
        <v>192.38</v>
      </c>
      <c r="F2341" s="2">
        <v>4</v>
      </c>
      <c r="G2341" s="2"/>
    </row>
    <row r="2342" spans="1:26" customHeight="1" ht="36" hidden="true" outlineLevel="4">
      <c r="A2342" s="2" t="s">
        <v>4430</v>
      </c>
      <c r="B2342" s="3" t="s">
        <v>4431</v>
      </c>
      <c r="C2342" s="2"/>
      <c r="D2342" s="2" t="s">
        <v>16</v>
      </c>
      <c r="E2342" s="4">
        <f>165.45*(1-Z1%)</f>
        <v>165.45</v>
      </c>
      <c r="F2342" s="2">
        <v>12</v>
      </c>
      <c r="G2342" s="2"/>
    </row>
    <row r="2343" spans="1:26" customHeight="1" ht="36" hidden="true" outlineLevel="4">
      <c r="A2343" s="2" t="s">
        <v>4432</v>
      </c>
      <c r="B2343" s="3" t="s">
        <v>4433</v>
      </c>
      <c r="C2343" s="2"/>
      <c r="D2343" s="2" t="s">
        <v>16</v>
      </c>
      <c r="E2343" s="4">
        <f>228.29*(1-Z1%)</f>
        <v>228.29</v>
      </c>
      <c r="F2343" s="2">
        <v>3</v>
      </c>
      <c r="G2343" s="2"/>
    </row>
    <row r="2344" spans="1:26" customHeight="1" ht="36" hidden="true" outlineLevel="4">
      <c r="A2344" s="2" t="s">
        <v>4434</v>
      </c>
      <c r="B2344" s="3" t="s">
        <v>4435</v>
      </c>
      <c r="C2344" s="2"/>
      <c r="D2344" s="2" t="s">
        <v>16</v>
      </c>
      <c r="E2344" s="4">
        <f>203.91*(1-Z1%)</f>
        <v>203.91</v>
      </c>
      <c r="F2344" s="2">
        <v>3</v>
      </c>
      <c r="G2344" s="2"/>
    </row>
    <row r="2345" spans="1:26" customHeight="1" ht="18" hidden="true" outlineLevel="4">
      <c r="A2345" s="2" t="s">
        <v>4436</v>
      </c>
      <c r="B2345" s="3" t="s">
        <v>4437</v>
      </c>
      <c r="C2345" s="2"/>
      <c r="D2345" s="2" t="s">
        <v>16</v>
      </c>
      <c r="E2345" s="4">
        <f>157.32*(1-Z1%)</f>
        <v>157.32</v>
      </c>
      <c r="F2345" s="2">
        <v>10</v>
      </c>
      <c r="G2345" s="2"/>
    </row>
    <row r="2346" spans="1:26" customHeight="1" ht="18" hidden="true" outlineLevel="4">
      <c r="A2346" s="2" t="s">
        <v>4438</v>
      </c>
      <c r="B2346" s="3" t="s">
        <v>4439</v>
      </c>
      <c r="C2346" s="2"/>
      <c r="D2346" s="2" t="s">
        <v>16</v>
      </c>
      <c r="E2346" s="4">
        <f>215.46*(1-Z1%)</f>
        <v>215.46</v>
      </c>
      <c r="F2346" s="2">
        <v>3</v>
      </c>
      <c r="G2346" s="2"/>
    </row>
    <row r="2347" spans="1:26" customHeight="1" ht="36" hidden="true" outlineLevel="4">
      <c r="A2347" s="2" t="s">
        <v>4440</v>
      </c>
      <c r="B2347" s="3" t="s">
        <v>4441</v>
      </c>
      <c r="C2347" s="2"/>
      <c r="D2347" s="2" t="s">
        <v>16</v>
      </c>
      <c r="E2347" s="4">
        <f>371.93*(1-Z1%)</f>
        <v>371.93</v>
      </c>
      <c r="F2347" s="2">
        <v>2</v>
      </c>
      <c r="G2347" s="2"/>
    </row>
    <row r="2348" spans="1:26" customHeight="1" ht="36" hidden="true" outlineLevel="4">
      <c r="A2348" s="2" t="s">
        <v>4442</v>
      </c>
      <c r="B2348" s="3" t="s">
        <v>4443</v>
      </c>
      <c r="C2348" s="2"/>
      <c r="D2348" s="2" t="s">
        <v>16</v>
      </c>
      <c r="E2348" s="4">
        <f>303.96*(1-Z1%)</f>
        <v>303.96</v>
      </c>
      <c r="F2348" s="2">
        <v>2</v>
      </c>
      <c r="G2348" s="2"/>
    </row>
    <row r="2349" spans="1:26" customHeight="1" ht="35" hidden="true" outlineLevel="4">
      <c r="A2349" s="5" t="s">
        <v>4444</v>
      </c>
      <c r="B2349" s="5"/>
      <c r="C2349" s="5"/>
      <c r="D2349" s="5"/>
      <c r="E2349" s="5"/>
      <c r="F2349" s="5"/>
      <c r="G2349" s="5"/>
    </row>
    <row r="2350" spans="1:26" customHeight="1" ht="54" hidden="true" outlineLevel="4">
      <c r="A2350" s="2" t="s">
        <v>4445</v>
      </c>
      <c r="B2350" s="3" t="s">
        <v>4446</v>
      </c>
      <c r="C2350" s="2"/>
      <c r="D2350" s="2" t="s">
        <v>16</v>
      </c>
      <c r="E2350" s="4">
        <f>211.62*(1-Z1%)</f>
        <v>211.62</v>
      </c>
      <c r="F2350" s="2">
        <v>11</v>
      </c>
      <c r="G2350" s="2"/>
    </row>
    <row r="2351" spans="1:26" customHeight="1" ht="36" hidden="true" outlineLevel="4">
      <c r="A2351" s="2" t="s">
        <v>4447</v>
      </c>
      <c r="B2351" s="3" t="s">
        <v>4448</v>
      </c>
      <c r="C2351" s="2"/>
      <c r="D2351" s="2" t="s">
        <v>16</v>
      </c>
      <c r="E2351" s="4">
        <f>254.25*(1-Z1%)</f>
        <v>254.25</v>
      </c>
      <c r="F2351" s="2">
        <v>2</v>
      </c>
      <c r="G2351" s="2"/>
    </row>
    <row r="2352" spans="1:26" customHeight="1" ht="54" hidden="true" outlineLevel="4">
      <c r="A2352" s="2" t="s">
        <v>4449</v>
      </c>
      <c r="B2352" s="3" t="s">
        <v>4450</v>
      </c>
      <c r="C2352" s="2"/>
      <c r="D2352" s="2" t="s">
        <v>16</v>
      </c>
      <c r="E2352" s="4">
        <f>155.61*(1-Z1%)</f>
        <v>155.61</v>
      </c>
      <c r="F2352" s="2">
        <v>6</v>
      </c>
      <c r="G2352" s="2"/>
    </row>
    <row r="2353" spans="1:26" customHeight="1" ht="36" hidden="true" outlineLevel="4">
      <c r="A2353" s="2" t="s">
        <v>4451</v>
      </c>
      <c r="B2353" s="3" t="s">
        <v>4452</v>
      </c>
      <c r="C2353" s="2"/>
      <c r="D2353" s="2" t="s">
        <v>16</v>
      </c>
      <c r="E2353" s="4">
        <f>203.91*(1-Z1%)</f>
        <v>203.91</v>
      </c>
      <c r="F2353" s="2">
        <v>10</v>
      </c>
      <c r="G2353" s="2"/>
    </row>
    <row r="2354" spans="1:26" customHeight="1" ht="36" hidden="true" outlineLevel="4">
      <c r="A2354" s="2" t="s">
        <v>4453</v>
      </c>
      <c r="B2354" s="3" t="s">
        <v>4454</v>
      </c>
      <c r="C2354" s="2"/>
      <c r="D2354" s="2" t="s">
        <v>16</v>
      </c>
      <c r="E2354" s="4">
        <f>203.91*(1-Z1%)</f>
        <v>203.91</v>
      </c>
      <c r="F2354" s="2">
        <v>1</v>
      </c>
      <c r="G2354" s="2"/>
    </row>
    <row r="2355" spans="1:26" customHeight="1" ht="36" hidden="true" outlineLevel="4">
      <c r="A2355" s="2" t="s">
        <v>4455</v>
      </c>
      <c r="B2355" s="3" t="s">
        <v>4456</v>
      </c>
      <c r="C2355" s="2"/>
      <c r="D2355" s="2" t="s">
        <v>16</v>
      </c>
      <c r="E2355" s="4">
        <f>141.75*(1-Z1%)</f>
        <v>141.75</v>
      </c>
      <c r="F2355" s="2">
        <v>5</v>
      </c>
      <c r="G2355" s="2"/>
    </row>
    <row r="2356" spans="1:26" customHeight="1" ht="36" hidden="true" outlineLevel="4">
      <c r="A2356" s="2" t="s">
        <v>4457</v>
      </c>
      <c r="B2356" s="3" t="s">
        <v>4458</v>
      </c>
      <c r="C2356" s="2"/>
      <c r="D2356" s="2" t="s">
        <v>16</v>
      </c>
      <c r="E2356" s="4">
        <f>135.09*(1-Z1%)</f>
        <v>135.09</v>
      </c>
      <c r="F2356" s="2">
        <v>4</v>
      </c>
      <c r="G2356" s="2"/>
    </row>
    <row r="2357" spans="1:26" customHeight="1" ht="18" hidden="true" outlineLevel="4">
      <c r="A2357" s="2" t="s">
        <v>4459</v>
      </c>
      <c r="B2357" s="3" t="s">
        <v>4460</v>
      </c>
      <c r="C2357" s="2"/>
      <c r="D2357" s="2" t="s">
        <v>16</v>
      </c>
      <c r="E2357" s="4">
        <f>197.51*(1-Z1%)</f>
        <v>197.51</v>
      </c>
      <c r="F2357" s="2">
        <v>11</v>
      </c>
      <c r="G2357" s="2"/>
    </row>
    <row r="2358" spans="1:26" customHeight="1" ht="18" hidden="true" outlineLevel="4">
      <c r="A2358" s="2" t="s">
        <v>4461</v>
      </c>
      <c r="B2358" s="3" t="s">
        <v>4462</v>
      </c>
      <c r="C2358" s="2"/>
      <c r="D2358" s="2" t="s">
        <v>16</v>
      </c>
      <c r="E2358" s="4">
        <f>187.25*(1-Z1%)</f>
        <v>187.25</v>
      </c>
      <c r="F2358" s="2">
        <v>1</v>
      </c>
      <c r="G2358" s="2"/>
    </row>
    <row r="2359" spans="1:26" customHeight="1" ht="36" hidden="true" outlineLevel="4">
      <c r="A2359" s="2" t="s">
        <v>4463</v>
      </c>
      <c r="B2359" s="3" t="s">
        <v>4464</v>
      </c>
      <c r="C2359" s="2"/>
      <c r="D2359" s="2" t="s">
        <v>16</v>
      </c>
      <c r="E2359" s="4">
        <f>191.10*(1-Z1%)</f>
        <v>191.1</v>
      </c>
      <c r="F2359" s="2">
        <v>10</v>
      </c>
      <c r="G2359" s="2"/>
    </row>
    <row r="2360" spans="1:26" customHeight="1" ht="36" hidden="true" outlineLevel="4">
      <c r="A2360" s="2" t="s">
        <v>4465</v>
      </c>
      <c r="B2360" s="3" t="s">
        <v>4466</v>
      </c>
      <c r="C2360" s="2"/>
      <c r="D2360" s="2" t="s">
        <v>16</v>
      </c>
      <c r="E2360" s="4">
        <f>241.11*(1-Z1%)</f>
        <v>241.11</v>
      </c>
      <c r="F2360" s="2">
        <v>3</v>
      </c>
      <c r="G2360" s="2"/>
    </row>
    <row r="2361" spans="1:26" customHeight="1" ht="36" hidden="true" outlineLevel="4">
      <c r="A2361" s="2" t="s">
        <v>4467</v>
      </c>
      <c r="B2361" s="3" t="s">
        <v>4468</v>
      </c>
      <c r="C2361" s="2"/>
      <c r="D2361" s="2" t="s">
        <v>16</v>
      </c>
      <c r="E2361" s="4">
        <f>251.37*(1-Z1%)</f>
        <v>251.37</v>
      </c>
      <c r="F2361" s="2">
        <v>2</v>
      </c>
      <c r="G2361" s="2"/>
    </row>
    <row r="2362" spans="1:26" customHeight="1" ht="36" hidden="true" outlineLevel="4">
      <c r="A2362" s="2" t="s">
        <v>4469</v>
      </c>
      <c r="B2362" s="3" t="s">
        <v>4470</v>
      </c>
      <c r="C2362" s="2"/>
      <c r="D2362" s="2" t="s">
        <v>16</v>
      </c>
      <c r="E2362" s="4">
        <f>242.40*(1-Z1%)</f>
        <v>242.4</v>
      </c>
      <c r="F2362" s="2">
        <v>5</v>
      </c>
      <c r="G2362" s="2"/>
    </row>
    <row r="2363" spans="1:26" customHeight="1" ht="36" hidden="true" outlineLevel="4">
      <c r="A2363" s="2" t="s">
        <v>4471</v>
      </c>
      <c r="B2363" s="3" t="s">
        <v>4472</v>
      </c>
      <c r="C2363" s="2"/>
      <c r="D2363" s="2" t="s">
        <v>16</v>
      </c>
      <c r="E2363" s="4">
        <f>210.33*(1-Z1%)</f>
        <v>210.33</v>
      </c>
      <c r="F2363" s="2">
        <v>1</v>
      </c>
      <c r="G2363" s="2"/>
    </row>
    <row r="2364" spans="1:26" customHeight="1" ht="36" hidden="true" outlineLevel="4">
      <c r="A2364" s="2" t="s">
        <v>4473</v>
      </c>
      <c r="B2364" s="3" t="s">
        <v>4474</v>
      </c>
      <c r="C2364" s="2"/>
      <c r="D2364" s="2" t="s">
        <v>16</v>
      </c>
      <c r="E2364" s="4">
        <f>294.98*(1-Z1%)</f>
        <v>294.98</v>
      </c>
      <c r="F2364" s="2">
        <v>5</v>
      </c>
      <c r="G2364" s="2"/>
    </row>
    <row r="2365" spans="1:26" customHeight="1" ht="35" hidden="true" outlineLevel="4">
      <c r="A2365" s="5" t="s">
        <v>4475</v>
      </c>
      <c r="B2365" s="5"/>
      <c r="C2365" s="5"/>
      <c r="D2365" s="5"/>
      <c r="E2365" s="5"/>
      <c r="F2365" s="5"/>
      <c r="G2365" s="5"/>
    </row>
    <row r="2366" spans="1:26" customHeight="1" ht="36" hidden="true" outlineLevel="4">
      <c r="A2366" s="2" t="s">
        <v>4476</v>
      </c>
      <c r="B2366" s="3" t="s">
        <v>4477</v>
      </c>
      <c r="C2366" s="2"/>
      <c r="D2366" s="2" t="s">
        <v>16</v>
      </c>
      <c r="E2366" s="4">
        <f>151.34*(1-Z1%)</f>
        <v>151.34</v>
      </c>
      <c r="F2366" s="2">
        <v>2</v>
      </c>
      <c r="G2366" s="2"/>
    </row>
    <row r="2367" spans="1:26" customHeight="1" ht="35" hidden="true" outlineLevel="4">
      <c r="A2367" s="5" t="s">
        <v>4478</v>
      </c>
      <c r="B2367" s="5"/>
      <c r="C2367" s="5"/>
      <c r="D2367" s="5"/>
      <c r="E2367" s="5"/>
      <c r="F2367" s="5"/>
      <c r="G2367" s="5"/>
    </row>
    <row r="2368" spans="1:26" customHeight="1" ht="18" hidden="true" outlineLevel="4">
      <c r="A2368" s="2" t="s">
        <v>4479</v>
      </c>
      <c r="B2368" s="3" t="s">
        <v>4480</v>
      </c>
      <c r="C2368" s="2"/>
      <c r="D2368" s="2" t="s">
        <v>16</v>
      </c>
      <c r="E2368" s="4">
        <f>173.13*(1-Z1%)</f>
        <v>173.13</v>
      </c>
      <c r="F2368" s="2">
        <v>8</v>
      </c>
      <c r="G2368" s="2"/>
    </row>
    <row r="2369" spans="1:26" customHeight="1" ht="18" hidden="true" outlineLevel="4">
      <c r="A2369" s="2" t="s">
        <v>4481</v>
      </c>
      <c r="B2369" s="3" t="s">
        <v>4482</v>
      </c>
      <c r="C2369" s="2"/>
      <c r="D2369" s="2" t="s">
        <v>16</v>
      </c>
      <c r="E2369" s="4">
        <f>129.54*(1-Z1%)</f>
        <v>129.54</v>
      </c>
      <c r="F2369" s="2">
        <v>4</v>
      </c>
      <c r="G2369" s="2"/>
    </row>
    <row r="2370" spans="1:26" customHeight="1" ht="18" hidden="true" outlineLevel="4">
      <c r="A2370" s="2" t="s">
        <v>4483</v>
      </c>
      <c r="B2370" s="3" t="s">
        <v>4484</v>
      </c>
      <c r="C2370" s="2"/>
      <c r="D2370" s="2" t="s">
        <v>16</v>
      </c>
      <c r="E2370" s="4">
        <f>179.55*(1-Z1%)</f>
        <v>179.55</v>
      </c>
      <c r="F2370" s="2">
        <v>1</v>
      </c>
      <c r="G2370" s="2"/>
    </row>
    <row r="2371" spans="1:26" customHeight="1" ht="35" hidden="true" outlineLevel="4">
      <c r="A2371" s="5" t="s">
        <v>4485</v>
      </c>
      <c r="B2371" s="5"/>
      <c r="C2371" s="5"/>
      <c r="D2371" s="5"/>
      <c r="E2371" s="5"/>
      <c r="F2371" s="5"/>
      <c r="G2371" s="5"/>
    </row>
    <row r="2372" spans="1:26" customHeight="1" ht="18" hidden="true" outlineLevel="4">
      <c r="A2372" s="2" t="s">
        <v>4486</v>
      </c>
      <c r="B2372" s="3" t="s">
        <v>4487</v>
      </c>
      <c r="C2372" s="2"/>
      <c r="D2372" s="2" t="s">
        <v>16</v>
      </c>
      <c r="E2372" s="4">
        <f>84.15*(1-Z1%)</f>
        <v>84.15</v>
      </c>
      <c r="F2372" s="2">
        <v>2</v>
      </c>
      <c r="G2372" s="2"/>
    </row>
    <row r="2373" spans="1:26" customHeight="1" ht="54" hidden="true" outlineLevel="4">
      <c r="A2373" s="2" t="s">
        <v>4488</v>
      </c>
      <c r="B2373" s="3" t="s">
        <v>4489</v>
      </c>
      <c r="C2373" s="2"/>
      <c r="D2373" s="2" t="s">
        <v>16</v>
      </c>
      <c r="E2373" s="4">
        <f>239.82*(1-Z1%)</f>
        <v>239.82</v>
      </c>
      <c r="F2373" s="2">
        <v>9</v>
      </c>
      <c r="G2373" s="2"/>
    </row>
    <row r="2374" spans="1:26" customHeight="1" ht="18" hidden="true" outlineLevel="4">
      <c r="A2374" s="2" t="s">
        <v>4490</v>
      </c>
      <c r="B2374" s="3" t="s">
        <v>4491</v>
      </c>
      <c r="C2374" s="2"/>
      <c r="D2374" s="2" t="s">
        <v>16</v>
      </c>
      <c r="E2374" s="4">
        <f>69.30*(1-Z1%)</f>
        <v>69.3</v>
      </c>
      <c r="F2374" s="2">
        <v>4</v>
      </c>
      <c r="G2374" s="2"/>
    </row>
    <row r="2375" spans="1:26" customHeight="1" ht="18" hidden="true" outlineLevel="4">
      <c r="A2375" s="2" t="s">
        <v>4492</v>
      </c>
      <c r="B2375" s="3" t="s">
        <v>4493</v>
      </c>
      <c r="C2375" s="2"/>
      <c r="D2375" s="2" t="s">
        <v>16</v>
      </c>
      <c r="E2375" s="4">
        <f>136.38*(1-Z1%)</f>
        <v>136.38</v>
      </c>
      <c r="F2375" s="2">
        <v>5</v>
      </c>
      <c r="G2375" s="2"/>
    </row>
    <row r="2376" spans="1:26" customHeight="1" ht="36" hidden="true" outlineLevel="4">
      <c r="A2376" s="2" t="s">
        <v>4494</v>
      </c>
      <c r="B2376" s="3" t="s">
        <v>4495</v>
      </c>
      <c r="C2376" s="2"/>
      <c r="D2376" s="2" t="s">
        <v>16</v>
      </c>
      <c r="E2376" s="4">
        <f>216.75*(1-Z1%)</f>
        <v>216.75</v>
      </c>
      <c r="F2376" s="2">
        <v>9</v>
      </c>
      <c r="G2376" s="2"/>
    </row>
    <row r="2377" spans="1:26" customHeight="1" ht="35" hidden="true" outlineLevel="3">
      <c r="A2377" s="5" t="s">
        <v>4496</v>
      </c>
      <c r="B2377" s="5"/>
      <c r="C2377" s="5"/>
      <c r="D2377" s="5"/>
      <c r="E2377" s="5"/>
      <c r="F2377" s="5"/>
      <c r="G2377" s="5"/>
    </row>
    <row r="2378" spans="1:26" customHeight="1" ht="18" hidden="true" outlineLevel="3">
      <c r="A2378" s="2" t="s">
        <v>4497</v>
      </c>
      <c r="B2378" s="3" t="s">
        <v>4498</v>
      </c>
      <c r="C2378" s="2"/>
      <c r="D2378" s="2" t="s">
        <v>16</v>
      </c>
      <c r="E2378" s="4">
        <f>74.05*(1-Z1%)</f>
        <v>74.05</v>
      </c>
      <c r="F2378" s="2">
        <v>1</v>
      </c>
      <c r="G2378" s="2"/>
    </row>
    <row r="2379" spans="1:26" customHeight="1" ht="18" hidden="true" outlineLevel="3">
      <c r="A2379" s="2" t="s">
        <v>4499</v>
      </c>
      <c r="B2379" s="3" t="s">
        <v>4500</v>
      </c>
      <c r="C2379" s="2"/>
      <c r="D2379" s="2" t="s">
        <v>16</v>
      </c>
      <c r="E2379" s="4">
        <f>90.09*(1-Z1%)</f>
        <v>90.09</v>
      </c>
      <c r="F2379" s="2">
        <v>1</v>
      </c>
      <c r="G2379" s="2"/>
    </row>
    <row r="2380" spans="1:26" customHeight="1" ht="35" hidden="true" outlineLevel="3">
      <c r="A2380" s="5" t="s">
        <v>4501</v>
      </c>
      <c r="B2380" s="5"/>
      <c r="C2380" s="5"/>
      <c r="D2380" s="5"/>
      <c r="E2380" s="5"/>
      <c r="F2380" s="5"/>
      <c r="G2380" s="5"/>
    </row>
    <row r="2381" spans="1:26" customHeight="1" ht="18" hidden="true" outlineLevel="3">
      <c r="A2381" s="2" t="s">
        <v>4502</v>
      </c>
      <c r="B2381" s="3" t="s">
        <v>4503</v>
      </c>
      <c r="C2381" s="2"/>
      <c r="D2381" s="2" t="s">
        <v>16</v>
      </c>
      <c r="E2381" s="4">
        <f>189.00*(1-Z1%)</f>
        <v>189</v>
      </c>
      <c r="F2381" s="2">
        <v>2</v>
      </c>
      <c r="G2381" s="2"/>
    </row>
    <row r="2382" spans="1:26" customHeight="1" ht="18" hidden="true" outlineLevel="3">
      <c r="A2382" s="2" t="s">
        <v>4504</v>
      </c>
      <c r="B2382" s="3" t="s">
        <v>4505</v>
      </c>
      <c r="C2382" s="2"/>
      <c r="D2382" s="2" t="s">
        <v>16</v>
      </c>
      <c r="E2382" s="4">
        <f>189.00*(1-Z1%)</f>
        <v>189</v>
      </c>
      <c r="F2382" s="2">
        <v>1</v>
      </c>
      <c r="G2382" s="2"/>
    </row>
    <row r="2383" spans="1:26" customHeight="1" ht="18" hidden="true" outlineLevel="3">
      <c r="A2383" s="2" t="s">
        <v>4506</v>
      </c>
      <c r="B2383" s="3" t="s">
        <v>4507</v>
      </c>
      <c r="C2383" s="2"/>
      <c r="D2383" s="2" t="s">
        <v>16</v>
      </c>
      <c r="E2383" s="4">
        <f>189.00*(1-Z1%)</f>
        <v>189</v>
      </c>
      <c r="F2383" s="2">
        <v>5</v>
      </c>
      <c r="G2383" s="2"/>
    </row>
    <row r="2384" spans="1:26" customHeight="1" ht="18" hidden="true" outlineLevel="3">
      <c r="A2384" s="2" t="s">
        <v>4508</v>
      </c>
      <c r="B2384" s="3" t="s">
        <v>4509</v>
      </c>
      <c r="C2384" s="2"/>
      <c r="D2384" s="2" t="s">
        <v>16</v>
      </c>
      <c r="E2384" s="4">
        <f>189.00*(1-Z1%)</f>
        <v>189</v>
      </c>
      <c r="F2384" s="2">
        <v>4</v>
      </c>
      <c r="G2384" s="2"/>
    </row>
    <row r="2385" spans="1:26" customHeight="1" ht="18" hidden="true" outlineLevel="3">
      <c r="A2385" s="2" t="s">
        <v>4510</v>
      </c>
      <c r="B2385" s="3" t="s">
        <v>4511</v>
      </c>
      <c r="C2385" s="2"/>
      <c r="D2385" s="2" t="s">
        <v>16</v>
      </c>
      <c r="E2385" s="4">
        <f>189.00*(1-Z1%)</f>
        <v>189</v>
      </c>
      <c r="F2385" s="2">
        <v>1</v>
      </c>
      <c r="G2385" s="2"/>
    </row>
    <row r="2386" spans="1:26" customHeight="1" ht="18" hidden="true" outlineLevel="3">
      <c r="A2386" s="2" t="s">
        <v>4512</v>
      </c>
      <c r="B2386" s="3" t="s">
        <v>4513</v>
      </c>
      <c r="C2386" s="2"/>
      <c r="D2386" s="2" t="s">
        <v>16</v>
      </c>
      <c r="E2386" s="4">
        <f>189.00*(1-Z1%)</f>
        <v>189</v>
      </c>
      <c r="F2386" s="2">
        <v>5</v>
      </c>
      <c r="G2386" s="2"/>
    </row>
    <row r="2387" spans="1:26" customHeight="1" ht="18" hidden="true" outlineLevel="3">
      <c r="A2387" s="2" t="s">
        <v>4514</v>
      </c>
      <c r="B2387" s="3" t="s">
        <v>4515</v>
      </c>
      <c r="C2387" s="2"/>
      <c r="D2387" s="2" t="s">
        <v>16</v>
      </c>
      <c r="E2387" s="4">
        <f>189.00*(1-Z1%)</f>
        <v>189</v>
      </c>
      <c r="F2387" s="2">
        <v>10</v>
      </c>
      <c r="G2387" s="2"/>
    </row>
    <row r="2388" spans="1:26" customHeight="1" ht="18" hidden="true" outlineLevel="3">
      <c r="A2388" s="2" t="s">
        <v>4516</v>
      </c>
      <c r="B2388" s="3" t="s">
        <v>4517</v>
      </c>
      <c r="C2388" s="2"/>
      <c r="D2388" s="2" t="s">
        <v>16</v>
      </c>
      <c r="E2388" s="4">
        <f>189.00*(1-Z1%)</f>
        <v>189</v>
      </c>
      <c r="F2388" s="2">
        <v>6</v>
      </c>
      <c r="G2388" s="2"/>
    </row>
    <row r="2389" spans="1:26" customHeight="1" ht="18" hidden="true" outlineLevel="3">
      <c r="A2389" s="2" t="s">
        <v>4518</v>
      </c>
      <c r="B2389" s="3" t="s">
        <v>4519</v>
      </c>
      <c r="C2389" s="2"/>
      <c r="D2389" s="2" t="s">
        <v>16</v>
      </c>
      <c r="E2389" s="4">
        <f>189.00*(1-Z1%)</f>
        <v>189</v>
      </c>
      <c r="F2389" s="2">
        <v>3</v>
      </c>
      <c r="G2389" s="2"/>
    </row>
    <row r="2390" spans="1:26" customHeight="1" ht="18" hidden="true" outlineLevel="3">
      <c r="A2390" s="2" t="s">
        <v>4520</v>
      </c>
      <c r="B2390" s="3" t="s">
        <v>4521</v>
      </c>
      <c r="C2390" s="2"/>
      <c r="D2390" s="2" t="s">
        <v>16</v>
      </c>
      <c r="E2390" s="4">
        <f>189.00*(1-Z1%)</f>
        <v>189</v>
      </c>
      <c r="F2390" s="2">
        <v>2</v>
      </c>
      <c r="G2390" s="2"/>
    </row>
    <row r="2391" spans="1:26" customHeight="1" ht="18" hidden="true" outlineLevel="3">
      <c r="A2391" s="2" t="s">
        <v>4522</v>
      </c>
      <c r="B2391" s="3" t="s">
        <v>4523</v>
      </c>
      <c r="C2391" s="2"/>
      <c r="D2391" s="2" t="s">
        <v>16</v>
      </c>
      <c r="E2391" s="4">
        <f>189.00*(1-Z1%)</f>
        <v>189</v>
      </c>
      <c r="F2391" s="2">
        <v>1</v>
      </c>
      <c r="G2391" s="2"/>
    </row>
    <row r="2392" spans="1:26" customHeight="1" ht="18" hidden="true" outlineLevel="3">
      <c r="A2392" s="2" t="s">
        <v>4524</v>
      </c>
      <c r="B2392" s="3" t="s">
        <v>4525</v>
      </c>
      <c r="C2392" s="2"/>
      <c r="D2392" s="2" t="s">
        <v>16</v>
      </c>
      <c r="E2392" s="4">
        <f>189.00*(1-Z1%)</f>
        <v>189</v>
      </c>
      <c r="F2392" s="2">
        <v>3</v>
      </c>
      <c r="G2392" s="2"/>
    </row>
    <row r="2393" spans="1:26" customHeight="1" ht="18" hidden="true" outlineLevel="3">
      <c r="A2393" s="2" t="s">
        <v>4526</v>
      </c>
      <c r="B2393" s="3" t="s">
        <v>4527</v>
      </c>
      <c r="C2393" s="2"/>
      <c r="D2393" s="2" t="s">
        <v>16</v>
      </c>
      <c r="E2393" s="4">
        <f>189.00*(1-Z1%)</f>
        <v>189</v>
      </c>
      <c r="F2393" s="2">
        <v>3</v>
      </c>
      <c r="G2393" s="2"/>
    </row>
    <row r="2394" spans="1:26" customHeight="1" ht="18" hidden="true" outlineLevel="3">
      <c r="A2394" s="2" t="s">
        <v>4528</v>
      </c>
      <c r="B2394" s="3" t="s">
        <v>4529</v>
      </c>
      <c r="C2394" s="2"/>
      <c r="D2394" s="2" t="s">
        <v>16</v>
      </c>
      <c r="E2394" s="4">
        <f>189.00*(1-Z1%)</f>
        <v>189</v>
      </c>
      <c r="F2394" s="2">
        <v>5</v>
      </c>
      <c r="G2394" s="2"/>
    </row>
    <row r="2395" spans="1:26" customHeight="1" ht="35" hidden="true" outlineLevel="2">
      <c r="A2395" s="5" t="s">
        <v>4530</v>
      </c>
      <c r="B2395" s="5"/>
      <c r="C2395" s="5"/>
      <c r="D2395" s="5"/>
      <c r="E2395" s="5"/>
      <c r="F2395" s="5"/>
      <c r="G2395" s="5"/>
    </row>
    <row r="2396" spans="1:26" customHeight="1" ht="36" hidden="true" outlineLevel="2">
      <c r="A2396" s="2" t="s">
        <v>4531</v>
      </c>
      <c r="B2396" s="3" t="s">
        <v>4532</v>
      </c>
      <c r="C2396" s="2"/>
      <c r="D2396" s="2" t="s">
        <v>16</v>
      </c>
      <c r="E2396" s="4">
        <f>790.10*(1-Z1%)</f>
        <v>790.1</v>
      </c>
      <c r="F2396" s="2">
        <v>1</v>
      </c>
      <c r="G2396" s="2"/>
    </row>
    <row r="2397" spans="1:26" customHeight="1" ht="36" hidden="true" outlineLevel="2">
      <c r="A2397" s="2" t="s">
        <v>4533</v>
      </c>
      <c r="B2397" s="3" t="s">
        <v>4534</v>
      </c>
      <c r="C2397" s="2"/>
      <c r="D2397" s="2" t="s">
        <v>16</v>
      </c>
      <c r="E2397" s="4">
        <f>1293.53*(1-Z1%)</f>
        <v>1293.53</v>
      </c>
      <c r="F2397" s="2">
        <v>1</v>
      </c>
      <c r="G2397" s="2"/>
    </row>
    <row r="2398" spans="1:26" customHeight="1" ht="36" hidden="true" outlineLevel="2">
      <c r="A2398" s="2" t="s">
        <v>4535</v>
      </c>
      <c r="B2398" s="3" t="s">
        <v>4536</v>
      </c>
      <c r="C2398" s="2"/>
      <c r="D2398" s="2" t="s">
        <v>16</v>
      </c>
      <c r="E2398" s="4">
        <f>1530.79*(1-Z1%)</f>
        <v>1530.79</v>
      </c>
      <c r="F2398" s="2">
        <v>2</v>
      </c>
      <c r="G2398" s="2"/>
    </row>
    <row r="2399" spans="1:26" customHeight="1" ht="54" hidden="true" outlineLevel="2">
      <c r="A2399" s="2" t="s">
        <v>4537</v>
      </c>
      <c r="B2399" s="3" t="s">
        <v>4538</v>
      </c>
      <c r="C2399" s="2"/>
      <c r="D2399" s="2" t="s">
        <v>16</v>
      </c>
      <c r="E2399" s="4">
        <f>1087.91*(1-Z1%)</f>
        <v>1087.91</v>
      </c>
      <c r="F2399" s="2">
        <v>4</v>
      </c>
      <c r="G2399" s="2"/>
    </row>
    <row r="2400" spans="1:26" customHeight="1" ht="36" hidden="true" outlineLevel="2">
      <c r="A2400" s="2" t="s">
        <v>4539</v>
      </c>
      <c r="B2400" s="3" t="s">
        <v>4540</v>
      </c>
      <c r="C2400" s="2"/>
      <c r="D2400" s="2" t="s">
        <v>16</v>
      </c>
      <c r="E2400" s="4">
        <f>1094.60*(1-Z1%)</f>
        <v>1094.6</v>
      </c>
      <c r="F2400" s="2">
        <v>2</v>
      </c>
      <c r="G2400" s="2"/>
    </row>
    <row r="2401" spans="1:26" customHeight="1" ht="54" hidden="true" outlineLevel="2">
      <c r="A2401" s="2" t="s">
        <v>4541</v>
      </c>
      <c r="B2401" s="3" t="s">
        <v>4542</v>
      </c>
      <c r="C2401" s="2"/>
      <c r="D2401" s="2" t="s">
        <v>16</v>
      </c>
      <c r="E2401" s="4">
        <f>1003.37*(1-Z1%)</f>
        <v>1003.37</v>
      </c>
      <c r="F2401" s="2">
        <v>2</v>
      </c>
      <c r="G2401" s="2"/>
    </row>
    <row r="2402" spans="1:26" customHeight="1" ht="54" hidden="true" outlineLevel="2">
      <c r="A2402" s="2" t="s">
        <v>4543</v>
      </c>
      <c r="B2402" s="3" t="s">
        <v>4544</v>
      </c>
      <c r="C2402" s="2"/>
      <c r="D2402" s="2" t="s">
        <v>16</v>
      </c>
      <c r="E2402" s="4">
        <f>941.52*(1-Z1%)</f>
        <v>941.52</v>
      </c>
      <c r="F2402" s="2">
        <v>2</v>
      </c>
      <c r="G2402" s="2"/>
    </row>
    <row r="2403" spans="1:26" customHeight="1" ht="18" hidden="true" outlineLevel="2">
      <c r="A2403" s="2" t="s">
        <v>4545</v>
      </c>
      <c r="B2403" s="3" t="s">
        <v>4546</v>
      </c>
      <c r="C2403" s="2"/>
      <c r="D2403" s="2" t="s">
        <v>16</v>
      </c>
      <c r="E2403" s="4">
        <f>1484.07*(1-Z1%)</f>
        <v>1484.07</v>
      </c>
      <c r="F2403" s="2">
        <v>2</v>
      </c>
      <c r="G2403" s="2"/>
    </row>
    <row r="2404" spans="1:26" customHeight="1" ht="36" hidden="true" outlineLevel="2">
      <c r="A2404" s="2" t="s">
        <v>4547</v>
      </c>
      <c r="B2404" s="3" t="s">
        <v>4548</v>
      </c>
      <c r="C2404" s="2"/>
      <c r="D2404" s="2" t="s">
        <v>16</v>
      </c>
      <c r="E2404" s="4">
        <f>1069.53*(1-Z1%)</f>
        <v>1069.53</v>
      </c>
      <c r="F2404" s="2">
        <v>3</v>
      </c>
      <c r="G2404" s="2"/>
    </row>
    <row r="2405" spans="1:26" customHeight="1" ht="36" hidden="true" outlineLevel="2">
      <c r="A2405" s="2" t="s">
        <v>4549</v>
      </c>
      <c r="B2405" s="3" t="s">
        <v>4550</v>
      </c>
      <c r="C2405" s="2"/>
      <c r="D2405" s="2" t="s">
        <v>16</v>
      </c>
      <c r="E2405" s="4">
        <f>1146.72*(1-Z1%)</f>
        <v>1146.72</v>
      </c>
      <c r="F2405" s="2">
        <v>3</v>
      </c>
      <c r="G2405" s="2"/>
    </row>
    <row r="2406" spans="1:26" customHeight="1" ht="18" hidden="true" outlineLevel="2">
      <c r="A2406" s="2" t="s">
        <v>4551</v>
      </c>
      <c r="B2406" s="3" t="s">
        <v>4552</v>
      </c>
      <c r="C2406" s="2"/>
      <c r="D2406" s="2" t="s">
        <v>16</v>
      </c>
      <c r="E2406" s="4">
        <f>1102.62*(1-Z1%)</f>
        <v>1102.62</v>
      </c>
      <c r="F2406" s="2">
        <v>3</v>
      </c>
      <c r="G2406" s="2"/>
    </row>
    <row r="2407" spans="1:26" customHeight="1" ht="18" hidden="true" outlineLevel="2">
      <c r="A2407" s="2" t="s">
        <v>4553</v>
      </c>
      <c r="B2407" s="3" t="s">
        <v>4554</v>
      </c>
      <c r="C2407" s="2"/>
      <c r="D2407" s="2" t="s">
        <v>16</v>
      </c>
      <c r="E2407" s="4">
        <f>1074.93*(1-Z1%)</f>
        <v>1074.93</v>
      </c>
      <c r="F2407" s="2">
        <v>2</v>
      </c>
      <c r="G2407" s="2"/>
    </row>
    <row r="2408" spans="1:26" customHeight="1" ht="18" hidden="true" outlineLevel="2">
      <c r="A2408" s="2" t="s">
        <v>4555</v>
      </c>
      <c r="B2408" s="3" t="s">
        <v>4556</v>
      </c>
      <c r="C2408" s="2"/>
      <c r="D2408" s="2" t="s">
        <v>16</v>
      </c>
      <c r="E2408" s="4">
        <f>652.47*(1-Z1%)</f>
        <v>652.47</v>
      </c>
      <c r="F2408" s="2">
        <v>2</v>
      </c>
      <c r="G2408" s="2"/>
    </row>
    <row r="2409" spans="1:26" customHeight="1" ht="18" hidden="true" outlineLevel="2">
      <c r="A2409" s="2" t="s">
        <v>4557</v>
      </c>
      <c r="B2409" s="3" t="s">
        <v>4558</v>
      </c>
      <c r="C2409" s="2"/>
      <c r="D2409" s="2" t="s">
        <v>16</v>
      </c>
      <c r="E2409" s="4">
        <f>652.47*(1-Z1%)</f>
        <v>652.47</v>
      </c>
      <c r="F2409" s="2">
        <v>1</v>
      </c>
      <c r="G2409" s="2"/>
    </row>
    <row r="2410" spans="1:26" customHeight="1" ht="36" hidden="true" outlineLevel="2">
      <c r="A2410" s="2" t="s">
        <v>4559</v>
      </c>
      <c r="B2410" s="3" t="s">
        <v>4560</v>
      </c>
      <c r="C2410" s="2"/>
      <c r="D2410" s="2" t="s">
        <v>16</v>
      </c>
      <c r="E2410" s="4">
        <f>955.69*(1-Z1%)</f>
        <v>955.69</v>
      </c>
      <c r="F2410" s="2">
        <v>2</v>
      </c>
      <c r="G2410" s="2"/>
    </row>
    <row r="2411" spans="1:26" customHeight="1" ht="36" hidden="true" outlineLevel="2">
      <c r="A2411" s="2" t="s">
        <v>4561</v>
      </c>
      <c r="B2411" s="3" t="s">
        <v>4562</v>
      </c>
      <c r="C2411" s="2"/>
      <c r="D2411" s="2" t="s">
        <v>16</v>
      </c>
      <c r="E2411" s="4">
        <f>889.44*(1-Z1%)</f>
        <v>889.44</v>
      </c>
      <c r="F2411" s="2">
        <v>1</v>
      </c>
      <c r="G2411" s="2"/>
    </row>
    <row r="2412" spans="1:26" customHeight="1" ht="18" hidden="true" outlineLevel="2">
      <c r="A2412" s="2" t="s">
        <v>4563</v>
      </c>
      <c r="B2412" s="3" t="s">
        <v>4564</v>
      </c>
      <c r="C2412" s="2"/>
      <c r="D2412" s="2" t="s">
        <v>16</v>
      </c>
      <c r="E2412" s="4">
        <f>980.79*(1-Z1%)</f>
        <v>980.79</v>
      </c>
      <c r="F2412" s="2">
        <v>2</v>
      </c>
      <c r="G2412" s="2"/>
    </row>
    <row r="2413" spans="1:26" customHeight="1" ht="18" hidden="true" outlineLevel="2">
      <c r="A2413" s="2" t="s">
        <v>4565</v>
      </c>
      <c r="B2413" s="3" t="s">
        <v>4566</v>
      </c>
      <c r="C2413" s="2"/>
      <c r="D2413" s="2" t="s">
        <v>16</v>
      </c>
      <c r="E2413" s="4">
        <f>675.98*(1-Z1%)</f>
        <v>675.98</v>
      </c>
      <c r="F2413" s="2">
        <v>1</v>
      </c>
      <c r="G2413" s="2"/>
    </row>
    <row r="2414" spans="1:26" customHeight="1" ht="18" hidden="true" outlineLevel="2">
      <c r="A2414" s="2" t="s">
        <v>4567</v>
      </c>
      <c r="B2414" s="3" t="s">
        <v>4568</v>
      </c>
      <c r="C2414" s="2"/>
      <c r="D2414" s="2" t="s">
        <v>16</v>
      </c>
      <c r="E2414" s="4">
        <f>675.98*(1-Z1%)</f>
        <v>675.98</v>
      </c>
      <c r="F2414" s="2">
        <v>1</v>
      </c>
      <c r="G2414" s="2"/>
    </row>
    <row r="2415" spans="1:26" customHeight="1" ht="35" hidden="true" outlineLevel="2">
      <c r="A2415" s="5" t="s">
        <v>4569</v>
      </c>
      <c r="B2415" s="5"/>
      <c r="C2415" s="5"/>
      <c r="D2415" s="5"/>
      <c r="E2415" s="5"/>
      <c r="F2415" s="5"/>
      <c r="G2415" s="5"/>
    </row>
    <row r="2416" spans="1:26" customHeight="1" ht="35" hidden="true" outlineLevel="3">
      <c r="A2416" s="5" t="s">
        <v>4570</v>
      </c>
      <c r="B2416" s="5"/>
      <c r="C2416" s="5"/>
      <c r="D2416" s="5"/>
      <c r="E2416" s="5"/>
      <c r="F2416" s="5"/>
      <c r="G2416" s="5"/>
    </row>
    <row r="2417" spans="1:26" customHeight="1" ht="35" hidden="true" outlineLevel="4">
      <c r="A2417" s="5" t="s">
        <v>4571</v>
      </c>
      <c r="B2417" s="5"/>
      <c r="C2417" s="5"/>
      <c r="D2417" s="5"/>
      <c r="E2417" s="5"/>
      <c r="F2417" s="5"/>
      <c r="G2417" s="5"/>
    </row>
    <row r="2418" spans="1:26" customHeight="1" ht="18" hidden="true" outlineLevel="4">
      <c r="A2418" s="2" t="s">
        <v>4572</v>
      </c>
      <c r="B2418" s="3" t="s">
        <v>4573</v>
      </c>
      <c r="C2418" s="2"/>
      <c r="D2418" s="2" t="s">
        <v>16</v>
      </c>
      <c r="E2418" s="4">
        <f>87.33*(1-Z1%)</f>
        <v>87.33</v>
      </c>
      <c r="F2418" s="2">
        <v>5</v>
      </c>
      <c r="G2418" s="2"/>
    </row>
    <row r="2419" spans="1:26" customHeight="1" ht="36" hidden="true" outlineLevel="4">
      <c r="A2419" s="2" t="s">
        <v>4574</v>
      </c>
      <c r="B2419" s="3" t="s">
        <v>4575</v>
      </c>
      <c r="C2419" s="2"/>
      <c r="D2419" s="2" t="s">
        <v>16</v>
      </c>
      <c r="E2419" s="4">
        <f>103.55*(1-Z1%)</f>
        <v>103.55</v>
      </c>
      <c r="F2419" s="2">
        <v>1</v>
      </c>
      <c r="G2419" s="2"/>
    </row>
    <row r="2420" spans="1:26" customHeight="1" ht="36" hidden="true" outlineLevel="4">
      <c r="A2420" s="2" t="s">
        <v>4576</v>
      </c>
      <c r="B2420" s="3" t="s">
        <v>4577</v>
      </c>
      <c r="C2420" s="2"/>
      <c r="D2420" s="2" t="s">
        <v>16</v>
      </c>
      <c r="E2420" s="4">
        <f>86.63*(1-Z1%)</f>
        <v>86.63</v>
      </c>
      <c r="F2420" s="2">
        <v>1</v>
      </c>
      <c r="G2420" s="2"/>
    </row>
    <row r="2421" spans="1:26" customHeight="1" ht="35" hidden="true" outlineLevel="4">
      <c r="A2421" s="5" t="s">
        <v>4578</v>
      </c>
      <c r="B2421" s="5"/>
      <c r="C2421" s="5"/>
      <c r="D2421" s="5"/>
      <c r="E2421" s="5"/>
      <c r="F2421" s="5"/>
      <c r="G2421" s="5"/>
    </row>
    <row r="2422" spans="1:26" customHeight="1" ht="18" hidden="true" outlineLevel="4">
      <c r="A2422" s="2" t="s">
        <v>4579</v>
      </c>
      <c r="B2422" s="3" t="s">
        <v>4580</v>
      </c>
      <c r="C2422" s="2"/>
      <c r="D2422" s="2" t="s">
        <v>16</v>
      </c>
      <c r="E2422" s="4">
        <f>2449.44*(1-Z1%)</f>
        <v>2449.44</v>
      </c>
      <c r="F2422" s="2">
        <v>2</v>
      </c>
      <c r="G2422" s="2"/>
    </row>
    <row r="2423" spans="1:26" customHeight="1" ht="18" hidden="true" outlineLevel="4">
      <c r="A2423" s="2" t="s">
        <v>4581</v>
      </c>
      <c r="B2423" s="3" t="s">
        <v>4582</v>
      </c>
      <c r="C2423" s="2"/>
      <c r="D2423" s="2" t="s">
        <v>16</v>
      </c>
      <c r="E2423" s="4">
        <f>2764.13*(1-Z1%)</f>
        <v>2764.13</v>
      </c>
      <c r="F2423" s="2">
        <v>1</v>
      </c>
      <c r="G2423" s="2"/>
    </row>
    <row r="2424" spans="1:26" customHeight="1" ht="36" hidden="true" outlineLevel="4">
      <c r="A2424" s="2" t="s">
        <v>4583</v>
      </c>
      <c r="B2424" s="3" t="s">
        <v>4584</v>
      </c>
      <c r="C2424" s="2"/>
      <c r="D2424" s="2" t="s">
        <v>16</v>
      </c>
      <c r="E2424" s="4">
        <f>1857.29*(1-Z1%)</f>
        <v>1857.29</v>
      </c>
      <c r="F2424" s="2">
        <v>3</v>
      </c>
      <c r="G2424" s="2"/>
    </row>
    <row r="2425" spans="1:26" customHeight="1" ht="36" hidden="true" outlineLevel="4">
      <c r="A2425" s="2" t="s">
        <v>4585</v>
      </c>
      <c r="B2425" s="3" t="s">
        <v>4586</v>
      </c>
      <c r="C2425" s="2"/>
      <c r="D2425" s="2" t="s">
        <v>16</v>
      </c>
      <c r="E2425" s="4">
        <f>1885.46*(1-Z1%)</f>
        <v>1885.46</v>
      </c>
      <c r="F2425" s="2">
        <v>3</v>
      </c>
      <c r="G2425" s="2"/>
    </row>
    <row r="2426" spans="1:26" customHeight="1" ht="35" hidden="true" outlineLevel="4">
      <c r="A2426" s="5" t="s">
        <v>4587</v>
      </c>
      <c r="B2426" s="5"/>
      <c r="C2426" s="5"/>
      <c r="D2426" s="5"/>
      <c r="E2426" s="5"/>
      <c r="F2426" s="5"/>
      <c r="G2426" s="5"/>
    </row>
    <row r="2427" spans="1:26" customHeight="1" ht="18" hidden="true" outlineLevel="4">
      <c r="A2427" s="2" t="s">
        <v>4588</v>
      </c>
      <c r="B2427" s="3" t="s">
        <v>4589</v>
      </c>
      <c r="C2427" s="2"/>
      <c r="D2427" s="2" t="s">
        <v>16</v>
      </c>
      <c r="E2427" s="4">
        <f>1009.02*(1-Z1%)</f>
        <v>1009.02</v>
      </c>
      <c r="F2427" s="2">
        <v>1</v>
      </c>
      <c r="G2427" s="2"/>
    </row>
    <row r="2428" spans="1:26" customHeight="1" ht="18" hidden="true" outlineLevel="4">
      <c r="A2428" s="2" t="s">
        <v>4590</v>
      </c>
      <c r="B2428" s="3" t="s">
        <v>4591</v>
      </c>
      <c r="C2428" s="2"/>
      <c r="D2428" s="2" t="s">
        <v>16</v>
      </c>
      <c r="E2428" s="4">
        <f>641.25*(1-Z1%)</f>
        <v>641.25</v>
      </c>
      <c r="F2428" s="2">
        <v>12</v>
      </c>
      <c r="G2428" s="2"/>
    </row>
    <row r="2429" spans="1:26" customHeight="1" ht="18" hidden="true" outlineLevel="4">
      <c r="A2429" s="2" t="s">
        <v>4592</v>
      </c>
      <c r="B2429" s="3" t="s">
        <v>4593</v>
      </c>
      <c r="C2429" s="2"/>
      <c r="D2429" s="2" t="s">
        <v>16</v>
      </c>
      <c r="E2429" s="4">
        <f>944.36*(1-Z1%)</f>
        <v>944.36</v>
      </c>
      <c r="F2429" s="2">
        <v>2</v>
      </c>
      <c r="G2429" s="2"/>
    </row>
    <row r="2430" spans="1:26" customHeight="1" ht="18" hidden="true" outlineLevel="4">
      <c r="A2430" s="2" t="s">
        <v>4594</v>
      </c>
      <c r="B2430" s="3" t="s">
        <v>4595</v>
      </c>
      <c r="C2430" s="2"/>
      <c r="D2430" s="2" t="s">
        <v>16</v>
      </c>
      <c r="E2430" s="4">
        <f>1009.02*(1-Z1%)</f>
        <v>1009.02</v>
      </c>
      <c r="F2430" s="2">
        <v>3</v>
      </c>
      <c r="G2430" s="2"/>
    </row>
    <row r="2431" spans="1:26" customHeight="1" ht="18" hidden="true" outlineLevel="4">
      <c r="A2431" s="2" t="s">
        <v>4596</v>
      </c>
      <c r="B2431" s="3" t="s">
        <v>4597</v>
      </c>
      <c r="C2431" s="2"/>
      <c r="D2431" s="2" t="s">
        <v>16</v>
      </c>
      <c r="E2431" s="4">
        <f>937.04*(1-Z1%)</f>
        <v>937.04</v>
      </c>
      <c r="F2431" s="2">
        <v>1</v>
      </c>
      <c r="G2431" s="2"/>
    </row>
    <row r="2432" spans="1:26" customHeight="1" ht="18" hidden="true" outlineLevel="4">
      <c r="A2432" s="2" t="s">
        <v>4598</v>
      </c>
      <c r="B2432" s="3" t="s">
        <v>4599</v>
      </c>
      <c r="C2432" s="2"/>
      <c r="D2432" s="2" t="s">
        <v>16</v>
      </c>
      <c r="E2432" s="4">
        <f>1203.46*(1-Z1%)</f>
        <v>1203.46</v>
      </c>
      <c r="F2432" s="2">
        <v>1</v>
      </c>
      <c r="G2432" s="2"/>
    </row>
    <row r="2433" spans="1:26" customHeight="1" ht="18" hidden="true" outlineLevel="4">
      <c r="A2433" s="2" t="s">
        <v>4600</v>
      </c>
      <c r="B2433" s="3" t="s">
        <v>4601</v>
      </c>
      <c r="C2433" s="2"/>
      <c r="D2433" s="2" t="s">
        <v>16</v>
      </c>
      <c r="E2433" s="4">
        <f>1093.87*(1-Z1%)</f>
        <v>1093.87</v>
      </c>
      <c r="F2433" s="2">
        <v>1</v>
      </c>
      <c r="G2433" s="2"/>
    </row>
    <row r="2434" spans="1:26" customHeight="1" ht="18" hidden="true" outlineLevel="4">
      <c r="A2434" s="2" t="s">
        <v>4602</v>
      </c>
      <c r="B2434" s="3" t="s">
        <v>4603</v>
      </c>
      <c r="C2434" s="2"/>
      <c r="D2434" s="2" t="s">
        <v>16</v>
      </c>
      <c r="E2434" s="4">
        <f>1418.21*(1-Z1%)</f>
        <v>1418.21</v>
      </c>
      <c r="F2434" s="2">
        <v>4</v>
      </c>
      <c r="G2434" s="2"/>
    </row>
    <row r="2435" spans="1:26" customHeight="1" ht="18" hidden="true" outlineLevel="4">
      <c r="A2435" s="2" t="s">
        <v>4604</v>
      </c>
      <c r="B2435" s="3" t="s">
        <v>4605</v>
      </c>
      <c r="C2435" s="2"/>
      <c r="D2435" s="2" t="s">
        <v>16</v>
      </c>
      <c r="E2435" s="4">
        <f>1141.79*(1-Z1%)</f>
        <v>1141.79</v>
      </c>
      <c r="F2435" s="2">
        <v>2</v>
      </c>
      <c r="G2435" s="2"/>
    </row>
    <row r="2436" spans="1:26" customHeight="1" ht="35" hidden="true" outlineLevel="2">
      <c r="A2436" s="5" t="s">
        <v>4606</v>
      </c>
      <c r="B2436" s="5"/>
      <c r="C2436" s="5"/>
      <c r="D2436" s="5"/>
      <c r="E2436" s="5"/>
      <c r="F2436" s="5"/>
      <c r="G2436" s="5"/>
    </row>
    <row r="2437" spans="1:26" customHeight="1" ht="35" hidden="true" outlineLevel="3">
      <c r="A2437" s="5" t="s">
        <v>4607</v>
      </c>
      <c r="B2437" s="5"/>
      <c r="C2437" s="5"/>
      <c r="D2437" s="5"/>
      <c r="E2437" s="5"/>
      <c r="F2437" s="5"/>
      <c r="G2437" s="5"/>
    </row>
    <row r="2438" spans="1:26" customHeight="1" ht="18" hidden="true" outlineLevel="3">
      <c r="A2438" s="2" t="s">
        <v>4608</v>
      </c>
      <c r="B2438" s="3" t="s">
        <v>4609</v>
      </c>
      <c r="C2438" s="2"/>
      <c r="D2438" s="2" t="s">
        <v>16</v>
      </c>
      <c r="E2438" s="4">
        <f>222.19*(1-Z1%)</f>
        <v>222.19</v>
      </c>
      <c r="F2438" s="2">
        <v>3</v>
      </c>
      <c r="G2438" s="2"/>
    </row>
    <row r="2439" spans="1:26" customHeight="1" ht="18" hidden="true" outlineLevel="3">
      <c r="A2439" s="2" t="s">
        <v>4610</v>
      </c>
      <c r="B2439" s="3" t="s">
        <v>4611</v>
      </c>
      <c r="C2439" s="2"/>
      <c r="D2439" s="2" t="s">
        <v>16</v>
      </c>
      <c r="E2439" s="4">
        <f>551.70*(1-Z1%)</f>
        <v>551.7</v>
      </c>
      <c r="F2439" s="2">
        <v>2</v>
      </c>
      <c r="G2439" s="2"/>
    </row>
    <row r="2440" spans="1:26" customHeight="1" ht="36" hidden="true" outlineLevel="3">
      <c r="A2440" s="2" t="s">
        <v>4612</v>
      </c>
      <c r="B2440" s="3" t="s">
        <v>4613</v>
      </c>
      <c r="C2440" s="2"/>
      <c r="D2440" s="2" t="s">
        <v>16</v>
      </c>
      <c r="E2440" s="4">
        <f>316.58*(1-Z1%)</f>
        <v>316.58</v>
      </c>
      <c r="F2440" s="2">
        <v>3</v>
      </c>
      <c r="G2440" s="2"/>
    </row>
    <row r="2441" spans="1:26" customHeight="1" ht="18" hidden="true" outlineLevel="3">
      <c r="A2441" s="2" t="s">
        <v>4614</v>
      </c>
      <c r="B2441" s="3" t="s">
        <v>4615</v>
      </c>
      <c r="C2441" s="2"/>
      <c r="D2441" s="2" t="s">
        <v>16</v>
      </c>
      <c r="E2441" s="4">
        <f>438.01*(1-Z1%)</f>
        <v>438.01</v>
      </c>
      <c r="F2441" s="2">
        <v>2</v>
      </c>
      <c r="G2441" s="2"/>
    </row>
    <row r="2442" spans="1:26" customHeight="1" ht="18" hidden="true" outlineLevel="3">
      <c r="A2442" s="2" t="s">
        <v>4616</v>
      </c>
      <c r="B2442" s="3" t="s">
        <v>4617</v>
      </c>
      <c r="C2442" s="2"/>
      <c r="D2442" s="2" t="s">
        <v>16</v>
      </c>
      <c r="E2442" s="4">
        <f>536.29*(1-Z1%)</f>
        <v>536.29</v>
      </c>
      <c r="F2442" s="2">
        <v>5</v>
      </c>
      <c r="G2442" s="2"/>
    </row>
    <row r="2443" spans="1:26" customHeight="1" ht="36" hidden="true" outlineLevel="3">
      <c r="A2443" s="2" t="s">
        <v>4618</v>
      </c>
      <c r="B2443" s="3" t="s">
        <v>4619</v>
      </c>
      <c r="C2443" s="2"/>
      <c r="D2443" s="2" t="s">
        <v>16</v>
      </c>
      <c r="E2443" s="4">
        <f>284.74*(1-Z1%)</f>
        <v>284.74</v>
      </c>
      <c r="F2443" s="2">
        <v>3</v>
      </c>
      <c r="G2443" s="2"/>
    </row>
    <row r="2444" spans="1:26" customHeight="1" ht="18" hidden="true" outlineLevel="3">
      <c r="A2444" s="2" t="s">
        <v>4620</v>
      </c>
      <c r="B2444" s="3" t="s">
        <v>4621</v>
      </c>
      <c r="C2444" s="2"/>
      <c r="D2444" s="2" t="s">
        <v>16</v>
      </c>
      <c r="E2444" s="4">
        <f>233.89*(1-Z1%)</f>
        <v>233.89</v>
      </c>
      <c r="F2444" s="2">
        <v>2</v>
      </c>
      <c r="G2444" s="2"/>
    </row>
    <row r="2445" spans="1:26" customHeight="1" ht="18" hidden="true" outlineLevel="3">
      <c r="A2445" s="2" t="s">
        <v>4622</v>
      </c>
      <c r="B2445" s="3" t="s">
        <v>4621</v>
      </c>
      <c r="C2445" s="2"/>
      <c r="D2445" s="2" t="s">
        <v>16</v>
      </c>
      <c r="E2445" s="4">
        <f>254.93*(1-Z1%)</f>
        <v>254.93</v>
      </c>
      <c r="F2445" s="2">
        <v>3</v>
      </c>
      <c r="G2445" s="2"/>
    </row>
    <row r="2446" spans="1:26" customHeight="1" ht="36" hidden="true" outlineLevel="3">
      <c r="A2446" s="2" t="s">
        <v>4623</v>
      </c>
      <c r="B2446" s="3" t="s">
        <v>4624</v>
      </c>
      <c r="C2446" s="2"/>
      <c r="D2446" s="2" t="s">
        <v>16</v>
      </c>
      <c r="E2446" s="4">
        <f>545.44*(1-Z1%)</f>
        <v>545.44</v>
      </c>
      <c r="F2446" s="2">
        <v>4</v>
      </c>
      <c r="G2446" s="2"/>
    </row>
    <row r="2447" spans="1:26" customHeight="1" ht="36" hidden="true" outlineLevel="3">
      <c r="A2447" s="2" t="s">
        <v>4625</v>
      </c>
      <c r="B2447" s="3" t="s">
        <v>4626</v>
      </c>
      <c r="C2447" s="2"/>
      <c r="D2447" s="2" t="s">
        <v>16</v>
      </c>
      <c r="E2447" s="4">
        <f>545.44*(1-Z1%)</f>
        <v>545.44</v>
      </c>
      <c r="F2447" s="2">
        <v>4</v>
      </c>
      <c r="G2447" s="2"/>
    </row>
    <row r="2448" spans="1:26" customHeight="1" ht="35" hidden="true" outlineLevel="2">
      <c r="A2448" s="5" t="s">
        <v>4627</v>
      </c>
      <c r="B2448" s="5"/>
      <c r="C2448" s="5"/>
      <c r="D2448" s="5"/>
      <c r="E2448" s="5"/>
      <c r="F2448" s="5"/>
      <c r="G2448" s="5"/>
    </row>
    <row r="2449" spans="1:26" customHeight="1" ht="35" hidden="true" outlineLevel="3">
      <c r="A2449" s="5" t="s">
        <v>4628</v>
      </c>
      <c r="B2449" s="5"/>
      <c r="C2449" s="5"/>
      <c r="D2449" s="5"/>
      <c r="E2449" s="5"/>
      <c r="F2449" s="5"/>
      <c r="G2449" s="5"/>
    </row>
    <row r="2450" spans="1:26" customHeight="1" ht="35" hidden="true" outlineLevel="4">
      <c r="A2450" s="5" t="s">
        <v>4629</v>
      </c>
      <c r="B2450" s="5"/>
      <c r="C2450" s="5"/>
      <c r="D2450" s="5"/>
      <c r="E2450" s="5"/>
      <c r="F2450" s="5"/>
      <c r="G2450" s="5"/>
    </row>
    <row r="2451" spans="1:26" customHeight="1" ht="36" hidden="true" outlineLevel="4">
      <c r="A2451" s="2" t="s">
        <v>4630</v>
      </c>
      <c r="B2451" s="3" t="s">
        <v>4631</v>
      </c>
      <c r="C2451" s="2"/>
      <c r="D2451" s="2" t="s">
        <v>16</v>
      </c>
      <c r="E2451" s="4">
        <f>56.81*(1-Z1%)</f>
        <v>56.81</v>
      </c>
      <c r="F2451" s="2">
        <v>34</v>
      </c>
      <c r="G2451" s="2"/>
    </row>
    <row r="2452" spans="1:26" customHeight="1" ht="36" hidden="true" outlineLevel="4">
      <c r="A2452" s="2" t="s">
        <v>4632</v>
      </c>
      <c r="B2452" s="3" t="s">
        <v>4633</v>
      </c>
      <c r="C2452" s="2"/>
      <c r="D2452" s="2" t="s">
        <v>16</v>
      </c>
      <c r="E2452" s="4">
        <f>1054.85*(1-Z1%)</f>
        <v>1054.85</v>
      </c>
      <c r="F2452" s="2">
        <v>2</v>
      </c>
      <c r="G2452" s="2"/>
    </row>
    <row r="2453" spans="1:26" customHeight="1" ht="36" hidden="true" outlineLevel="4">
      <c r="A2453" s="2" t="s">
        <v>4634</v>
      </c>
      <c r="B2453" s="3" t="s">
        <v>4635</v>
      </c>
      <c r="C2453" s="2"/>
      <c r="D2453" s="2" t="s">
        <v>16</v>
      </c>
      <c r="E2453" s="4">
        <f>1155.27*(1-Z1%)</f>
        <v>1155.27</v>
      </c>
      <c r="F2453" s="2">
        <v>1</v>
      </c>
      <c r="G2453" s="2"/>
    </row>
    <row r="2454" spans="1:26" customHeight="1" ht="36" hidden="true" outlineLevel="4">
      <c r="A2454" s="2" t="s">
        <v>4636</v>
      </c>
      <c r="B2454" s="3" t="s">
        <v>4637</v>
      </c>
      <c r="C2454" s="2"/>
      <c r="D2454" s="2" t="s">
        <v>16</v>
      </c>
      <c r="E2454" s="4">
        <f>1305.28*(1-Z1%)</f>
        <v>1305.28</v>
      </c>
      <c r="F2454" s="2">
        <v>1</v>
      </c>
      <c r="G2454" s="2"/>
    </row>
    <row r="2455" spans="1:26" customHeight="1" ht="36" hidden="true" outlineLevel="4">
      <c r="A2455" s="2" t="s">
        <v>4638</v>
      </c>
      <c r="B2455" s="3" t="s">
        <v>4639</v>
      </c>
      <c r="C2455" s="2"/>
      <c r="D2455" s="2" t="s">
        <v>16</v>
      </c>
      <c r="E2455" s="4">
        <f>1295.83*(1-Z1%)</f>
        <v>1295.83</v>
      </c>
      <c r="F2455" s="2">
        <v>1</v>
      </c>
      <c r="G2455" s="2"/>
    </row>
    <row r="2456" spans="1:26" customHeight="1" ht="36" hidden="true" outlineLevel="4">
      <c r="A2456" s="2" t="s">
        <v>4640</v>
      </c>
      <c r="B2456" s="3" t="s">
        <v>4641</v>
      </c>
      <c r="C2456" s="2"/>
      <c r="D2456" s="2" t="s">
        <v>16</v>
      </c>
      <c r="E2456" s="4">
        <f>1014.70*(1-Z1%)</f>
        <v>1014.7</v>
      </c>
      <c r="F2456" s="2">
        <v>1</v>
      </c>
      <c r="G2456" s="2"/>
    </row>
    <row r="2457" spans="1:26" customHeight="1" ht="18" hidden="true" outlineLevel="4">
      <c r="A2457" s="2" t="s">
        <v>4642</v>
      </c>
      <c r="B2457" s="3" t="s">
        <v>4643</v>
      </c>
      <c r="C2457" s="2"/>
      <c r="D2457" s="2" t="s">
        <v>16</v>
      </c>
      <c r="E2457" s="4">
        <f>589.45*(1-Z1%)</f>
        <v>589.45</v>
      </c>
      <c r="F2457" s="2">
        <v>1</v>
      </c>
      <c r="G2457" s="2"/>
    </row>
    <row r="2458" spans="1:26" customHeight="1" ht="18" hidden="true" outlineLevel="4">
      <c r="A2458" s="2" t="s">
        <v>4644</v>
      </c>
      <c r="B2458" s="3" t="s">
        <v>4645</v>
      </c>
      <c r="C2458" s="2"/>
      <c r="D2458" s="2" t="s">
        <v>16</v>
      </c>
      <c r="E2458" s="4">
        <f>972.17*(1-Z1%)</f>
        <v>972.17</v>
      </c>
      <c r="F2458" s="2">
        <v>3</v>
      </c>
      <c r="G2458" s="2"/>
    </row>
    <row r="2459" spans="1:26" customHeight="1" ht="35" hidden="true" outlineLevel="4">
      <c r="A2459" s="5" t="s">
        <v>4646</v>
      </c>
      <c r="B2459" s="5"/>
      <c r="C2459" s="5"/>
      <c r="D2459" s="5"/>
      <c r="E2459" s="5"/>
      <c r="F2459" s="5"/>
      <c r="G2459" s="5"/>
    </row>
    <row r="2460" spans="1:26" customHeight="1" ht="18" hidden="true" outlineLevel="4">
      <c r="A2460" s="2" t="s">
        <v>4647</v>
      </c>
      <c r="B2460" s="3" t="s">
        <v>4648</v>
      </c>
      <c r="C2460" s="2"/>
      <c r="D2460" s="2" t="s">
        <v>16</v>
      </c>
      <c r="E2460" s="4">
        <f>461.25*(1-Z1%)</f>
        <v>461.25</v>
      </c>
      <c r="F2460" s="2">
        <v>3</v>
      </c>
      <c r="G2460" s="2"/>
    </row>
    <row r="2461" spans="1:26" customHeight="1" ht="36" hidden="true" outlineLevel="4">
      <c r="A2461" s="2" t="s">
        <v>4649</v>
      </c>
      <c r="B2461" s="3" t="s">
        <v>4650</v>
      </c>
      <c r="C2461" s="2"/>
      <c r="D2461" s="2" t="s">
        <v>16</v>
      </c>
      <c r="E2461" s="4">
        <f>461.25*(1-Z1%)</f>
        <v>461.25</v>
      </c>
      <c r="F2461" s="2">
        <v>2</v>
      </c>
      <c r="G2461" s="2"/>
    </row>
    <row r="2462" spans="1:26" customHeight="1" ht="36" hidden="true" outlineLevel="4">
      <c r="A2462" s="2" t="s">
        <v>4651</v>
      </c>
      <c r="B2462" s="3" t="s">
        <v>4652</v>
      </c>
      <c r="C2462" s="2"/>
      <c r="D2462" s="2" t="s">
        <v>16</v>
      </c>
      <c r="E2462" s="4">
        <f>427.50*(1-Z1%)</f>
        <v>427.5</v>
      </c>
      <c r="F2462" s="2">
        <v>1</v>
      </c>
      <c r="G2462" s="2"/>
    </row>
    <row r="2463" spans="1:26" customHeight="1" ht="36" hidden="true" outlineLevel="4">
      <c r="A2463" s="2" t="s">
        <v>4653</v>
      </c>
      <c r="B2463" s="3" t="s">
        <v>4654</v>
      </c>
      <c r="C2463" s="2"/>
      <c r="D2463" s="2" t="s">
        <v>16</v>
      </c>
      <c r="E2463" s="4">
        <f>559.13*(1-Z1%)</f>
        <v>559.13</v>
      </c>
      <c r="F2463" s="2">
        <v>2</v>
      </c>
      <c r="G2463" s="2"/>
    </row>
    <row r="2464" spans="1:26" customHeight="1" ht="36" hidden="true" outlineLevel="4">
      <c r="A2464" s="2" t="s">
        <v>4655</v>
      </c>
      <c r="B2464" s="3" t="s">
        <v>4656</v>
      </c>
      <c r="C2464" s="2"/>
      <c r="D2464" s="2" t="s">
        <v>16</v>
      </c>
      <c r="E2464" s="4">
        <f>641.25*(1-Z1%)</f>
        <v>641.25</v>
      </c>
      <c r="F2464" s="2">
        <v>2</v>
      </c>
      <c r="G2464" s="2"/>
    </row>
    <row r="2465" spans="1:26" customHeight="1" ht="36" hidden="true" outlineLevel="4">
      <c r="A2465" s="2" t="s">
        <v>4657</v>
      </c>
      <c r="B2465" s="3" t="s">
        <v>4658</v>
      </c>
      <c r="C2465" s="2"/>
      <c r="D2465" s="2" t="s">
        <v>16</v>
      </c>
      <c r="E2465" s="4">
        <f>1316.25*(1-Z1%)</f>
        <v>1316.25</v>
      </c>
      <c r="F2465" s="2">
        <v>2</v>
      </c>
      <c r="G2465" s="2"/>
    </row>
    <row r="2466" spans="1:26" customHeight="1" ht="36" hidden="true" outlineLevel="4">
      <c r="A2466" s="2" t="s">
        <v>4659</v>
      </c>
      <c r="B2466" s="3" t="s">
        <v>4660</v>
      </c>
      <c r="C2466" s="2"/>
      <c r="D2466" s="2" t="s">
        <v>16</v>
      </c>
      <c r="E2466" s="4">
        <f>832.50*(1-Z1%)</f>
        <v>832.5</v>
      </c>
      <c r="F2466" s="2">
        <v>4</v>
      </c>
      <c r="G2466" s="2"/>
    </row>
    <row r="2467" spans="1:26" customHeight="1" ht="36" hidden="true" outlineLevel="4">
      <c r="A2467" s="2" t="s">
        <v>4661</v>
      </c>
      <c r="B2467" s="3" t="s">
        <v>4662</v>
      </c>
      <c r="C2467" s="2"/>
      <c r="D2467" s="2" t="s">
        <v>16</v>
      </c>
      <c r="E2467" s="4">
        <f>686.25*(1-Z1%)</f>
        <v>686.25</v>
      </c>
      <c r="F2467" s="2">
        <v>2</v>
      </c>
      <c r="G2467" s="2"/>
    </row>
    <row r="2468" spans="1:26" customHeight="1" ht="35" hidden="true" outlineLevel="4">
      <c r="A2468" s="5" t="s">
        <v>4663</v>
      </c>
      <c r="B2468" s="5"/>
      <c r="C2468" s="5"/>
      <c r="D2468" s="5"/>
      <c r="E2468" s="5"/>
      <c r="F2468" s="5"/>
      <c r="G2468" s="5"/>
    </row>
    <row r="2469" spans="1:26" customHeight="1" ht="18" hidden="true" outlineLevel="4">
      <c r="A2469" s="2" t="s">
        <v>4664</v>
      </c>
      <c r="B2469" s="3" t="s">
        <v>4665</v>
      </c>
      <c r="C2469" s="2"/>
      <c r="D2469" s="2" t="s">
        <v>16</v>
      </c>
      <c r="E2469" s="4">
        <f>245.25*(1-Z1%)</f>
        <v>245.25</v>
      </c>
      <c r="F2469" s="2">
        <v>2</v>
      </c>
      <c r="G2469" s="2"/>
    </row>
    <row r="2470" spans="1:26" customHeight="1" ht="18" hidden="true" outlineLevel="4">
      <c r="A2470" s="2" t="s">
        <v>4666</v>
      </c>
      <c r="B2470" s="3" t="s">
        <v>4667</v>
      </c>
      <c r="C2470" s="2"/>
      <c r="D2470" s="2" t="s">
        <v>16</v>
      </c>
      <c r="E2470" s="4">
        <f>307.13*(1-Z1%)</f>
        <v>307.13</v>
      </c>
      <c r="F2470" s="2">
        <v>1</v>
      </c>
      <c r="G2470" s="2"/>
    </row>
    <row r="2471" spans="1:26" customHeight="1" ht="35" hidden="true" outlineLevel="3">
      <c r="A2471" s="5" t="s">
        <v>4668</v>
      </c>
      <c r="B2471" s="5"/>
      <c r="C2471" s="5"/>
      <c r="D2471" s="5"/>
      <c r="E2471" s="5"/>
      <c r="F2471" s="5"/>
      <c r="G2471" s="5"/>
    </row>
    <row r="2472" spans="1:26" customHeight="1" ht="18" hidden="true" outlineLevel="3">
      <c r="A2472" s="2" t="s">
        <v>4669</v>
      </c>
      <c r="B2472" s="3" t="s">
        <v>4670</v>
      </c>
      <c r="C2472" s="2"/>
      <c r="D2472" s="2" t="s">
        <v>16</v>
      </c>
      <c r="E2472" s="4">
        <f>62.37*(1-Z1%)</f>
        <v>62.37</v>
      </c>
      <c r="F2472" s="2">
        <v>10</v>
      </c>
      <c r="G2472" s="2"/>
    </row>
    <row r="2473" spans="1:26" customHeight="1" ht="18" hidden="true" outlineLevel="3">
      <c r="A2473" s="2" t="s">
        <v>4671</v>
      </c>
      <c r="B2473" s="3" t="s">
        <v>4672</v>
      </c>
      <c r="C2473" s="2"/>
      <c r="D2473" s="2" t="s">
        <v>16</v>
      </c>
      <c r="E2473" s="4">
        <f>61.19*(1-Z1%)</f>
        <v>61.19</v>
      </c>
      <c r="F2473" s="2">
        <v>10</v>
      </c>
      <c r="G2473" s="2"/>
    </row>
    <row r="2474" spans="1:26" customHeight="1" ht="18" hidden="true" outlineLevel="3">
      <c r="A2474" s="2" t="s">
        <v>4673</v>
      </c>
      <c r="B2474" s="3" t="s">
        <v>4674</v>
      </c>
      <c r="C2474" s="2"/>
      <c r="D2474" s="2" t="s">
        <v>16</v>
      </c>
      <c r="E2474" s="4">
        <f>75.37*(1-Z1%)</f>
        <v>75.37</v>
      </c>
      <c r="F2474" s="2">
        <v>2</v>
      </c>
      <c r="G2474" s="2"/>
    </row>
    <row r="2475" spans="1:26" customHeight="1" ht="18" hidden="true" outlineLevel="3">
      <c r="A2475" s="2" t="s">
        <v>4675</v>
      </c>
      <c r="B2475" s="3" t="s">
        <v>4676</v>
      </c>
      <c r="C2475" s="2"/>
      <c r="D2475" s="2" t="s">
        <v>16</v>
      </c>
      <c r="E2475" s="4">
        <f>28.71*(1-Z1%)</f>
        <v>28.71</v>
      </c>
      <c r="F2475" s="2">
        <v>4</v>
      </c>
      <c r="G2475" s="2"/>
    </row>
    <row r="2476" spans="1:26" customHeight="1" ht="18" hidden="true" outlineLevel="3">
      <c r="A2476" s="2" t="s">
        <v>4677</v>
      </c>
      <c r="B2476" s="3" t="s">
        <v>4678</v>
      </c>
      <c r="C2476" s="2"/>
      <c r="D2476" s="2" t="s">
        <v>16</v>
      </c>
      <c r="E2476" s="4">
        <f>79.95*(1-Z1%)</f>
        <v>79.95</v>
      </c>
      <c r="F2476" s="2">
        <v>8</v>
      </c>
      <c r="G2476" s="2"/>
    </row>
    <row r="2477" spans="1:26" customHeight="1" ht="18" hidden="true" outlineLevel="3">
      <c r="A2477" s="2" t="s">
        <v>4679</v>
      </c>
      <c r="B2477" s="3" t="s">
        <v>4680</v>
      </c>
      <c r="C2477" s="2"/>
      <c r="D2477" s="2" t="s">
        <v>16</v>
      </c>
      <c r="E2477" s="4">
        <f>85.27*(1-Z1%)</f>
        <v>85.27</v>
      </c>
      <c r="F2477" s="2">
        <v>5</v>
      </c>
      <c r="G2477" s="2"/>
    </row>
    <row r="2478" spans="1:26" customHeight="1" ht="18" hidden="true" outlineLevel="3">
      <c r="A2478" s="2" t="s">
        <v>4681</v>
      </c>
      <c r="B2478" s="3" t="s">
        <v>4682</v>
      </c>
      <c r="C2478" s="2"/>
      <c r="D2478" s="2" t="s">
        <v>16</v>
      </c>
      <c r="E2478" s="4">
        <f>106.98*(1-Z1%)</f>
        <v>106.98</v>
      </c>
      <c r="F2478" s="2">
        <v>9</v>
      </c>
      <c r="G2478" s="2"/>
    </row>
    <row r="2479" spans="1:26" customHeight="1" ht="18" hidden="true" outlineLevel="3">
      <c r="A2479" s="2" t="s">
        <v>4683</v>
      </c>
      <c r="B2479" s="3" t="s">
        <v>4684</v>
      </c>
      <c r="C2479" s="2"/>
      <c r="D2479" s="2" t="s">
        <v>16</v>
      </c>
      <c r="E2479" s="4">
        <f>73.26*(1-Z1%)</f>
        <v>73.26</v>
      </c>
      <c r="F2479" s="2">
        <v>14</v>
      </c>
      <c r="G2479" s="2"/>
    </row>
    <row r="2480" spans="1:26" customHeight="1" ht="18" hidden="true" outlineLevel="3">
      <c r="A2480" s="2" t="s">
        <v>4685</v>
      </c>
      <c r="B2480" s="3" t="s">
        <v>4686</v>
      </c>
      <c r="C2480" s="2"/>
      <c r="D2480" s="2" t="s">
        <v>16</v>
      </c>
      <c r="E2480" s="4">
        <f>264.83*(1-Z1%)</f>
        <v>264.83</v>
      </c>
      <c r="F2480" s="2">
        <v>1</v>
      </c>
      <c r="G2480" s="2"/>
    </row>
    <row r="2481" spans="1:26" customHeight="1" ht="35" hidden="true" outlineLevel="3">
      <c r="A2481" s="5" t="s">
        <v>4687</v>
      </c>
      <c r="B2481" s="5"/>
      <c r="C2481" s="5"/>
      <c r="D2481" s="5"/>
      <c r="E2481" s="5"/>
      <c r="F2481" s="5"/>
      <c r="G2481" s="5"/>
    </row>
    <row r="2482" spans="1:26" customHeight="1" ht="18" hidden="true" outlineLevel="3">
      <c r="A2482" s="2" t="s">
        <v>4688</v>
      </c>
      <c r="B2482" s="3" t="s">
        <v>4689</v>
      </c>
      <c r="C2482" s="2"/>
      <c r="D2482" s="2" t="s">
        <v>16</v>
      </c>
      <c r="E2482" s="4">
        <f>115.56*(1-Z1%)</f>
        <v>115.56</v>
      </c>
      <c r="F2482" s="2">
        <v>9</v>
      </c>
      <c r="G2482" s="2"/>
    </row>
    <row r="2483" spans="1:26" customHeight="1" ht="36" hidden="true" outlineLevel="3">
      <c r="A2483" s="2" t="s">
        <v>4690</v>
      </c>
      <c r="B2483" s="3" t="s">
        <v>4691</v>
      </c>
      <c r="C2483" s="2"/>
      <c r="D2483" s="2" t="s">
        <v>16</v>
      </c>
      <c r="E2483" s="4">
        <f>72.23*(1-Z1%)</f>
        <v>72.23</v>
      </c>
      <c r="F2483" s="2">
        <v>3</v>
      </c>
      <c r="G2483" s="2"/>
    </row>
    <row r="2484" spans="1:26" customHeight="1" ht="18" hidden="true" outlineLevel="3">
      <c r="A2484" s="2" t="s">
        <v>4692</v>
      </c>
      <c r="B2484" s="3" t="s">
        <v>4693</v>
      </c>
      <c r="C2484" s="2"/>
      <c r="D2484" s="2" t="s">
        <v>16</v>
      </c>
      <c r="E2484" s="4">
        <f>125.44*(1-Z1%)</f>
        <v>125.44</v>
      </c>
      <c r="F2484" s="2">
        <v>2</v>
      </c>
      <c r="G2484" s="2"/>
    </row>
    <row r="2485" spans="1:26" customHeight="1" ht="18" hidden="true" outlineLevel="3">
      <c r="A2485" s="2" t="s">
        <v>4694</v>
      </c>
      <c r="B2485" s="3" t="s">
        <v>4695</v>
      </c>
      <c r="C2485" s="2"/>
      <c r="D2485" s="2" t="s">
        <v>16</v>
      </c>
      <c r="E2485" s="4">
        <f>149.27*(1-Z1%)</f>
        <v>149.27</v>
      </c>
      <c r="F2485" s="2">
        <v>11</v>
      </c>
      <c r="G2485" s="2"/>
    </row>
    <row r="2486" spans="1:26" customHeight="1" ht="18" hidden="true" outlineLevel="3">
      <c r="A2486" s="2" t="s">
        <v>4696</v>
      </c>
      <c r="B2486" s="3" t="s">
        <v>4697</v>
      </c>
      <c r="C2486" s="2"/>
      <c r="D2486" s="2" t="s">
        <v>16</v>
      </c>
      <c r="E2486" s="4">
        <f>68.04*(1-Z1%)</f>
        <v>68.04</v>
      </c>
      <c r="F2486" s="2">
        <v>4</v>
      </c>
      <c r="G2486" s="2"/>
    </row>
    <row r="2487" spans="1:26" customHeight="1" ht="18" hidden="true" outlineLevel="3">
      <c r="A2487" s="2" t="s">
        <v>4698</v>
      </c>
      <c r="B2487" s="3" t="s">
        <v>4699</v>
      </c>
      <c r="C2487" s="2"/>
      <c r="D2487" s="2" t="s">
        <v>16</v>
      </c>
      <c r="E2487" s="4">
        <f>97.51*(1-Z1%)</f>
        <v>97.51</v>
      </c>
      <c r="F2487" s="2">
        <v>10</v>
      </c>
      <c r="G2487" s="2"/>
    </row>
    <row r="2488" spans="1:26" customHeight="1" ht="18" hidden="true" outlineLevel="3">
      <c r="A2488" s="2" t="s">
        <v>4700</v>
      </c>
      <c r="B2488" s="3" t="s">
        <v>4701</v>
      </c>
      <c r="C2488" s="2"/>
      <c r="D2488" s="2" t="s">
        <v>16</v>
      </c>
      <c r="E2488" s="4">
        <f>122.47*(1-Z1%)</f>
        <v>122.47</v>
      </c>
      <c r="F2488" s="2">
        <v>17</v>
      </c>
      <c r="G2488" s="2"/>
    </row>
    <row r="2489" spans="1:26" customHeight="1" ht="36" hidden="true" outlineLevel="3">
      <c r="A2489" s="2" t="s">
        <v>4702</v>
      </c>
      <c r="B2489" s="3" t="s">
        <v>4703</v>
      </c>
      <c r="C2489" s="2"/>
      <c r="D2489" s="2" t="s">
        <v>16</v>
      </c>
      <c r="E2489" s="4">
        <f>47.03*(1-Z1%)</f>
        <v>47.03</v>
      </c>
      <c r="F2489" s="2">
        <v>1</v>
      </c>
      <c r="G2489" s="2"/>
    </row>
    <row r="2490" spans="1:26" customHeight="1" ht="35" hidden="true" outlineLevel="3">
      <c r="A2490" s="5" t="s">
        <v>4704</v>
      </c>
      <c r="B2490" s="5"/>
      <c r="C2490" s="5"/>
      <c r="D2490" s="5"/>
      <c r="E2490" s="5"/>
      <c r="F2490" s="5"/>
      <c r="G2490" s="5"/>
    </row>
    <row r="2491" spans="1:26" customHeight="1" ht="35" hidden="true" outlineLevel="4">
      <c r="A2491" s="5" t="s">
        <v>4705</v>
      </c>
      <c r="B2491" s="5"/>
      <c r="C2491" s="5"/>
      <c r="D2491" s="5"/>
      <c r="E2491" s="5"/>
      <c r="F2491" s="5"/>
      <c r="G2491" s="5"/>
    </row>
    <row r="2492" spans="1:26" customHeight="1" ht="18" hidden="true" outlineLevel="4">
      <c r="A2492" s="2" t="s">
        <v>4706</v>
      </c>
      <c r="B2492" s="3" t="s">
        <v>4707</v>
      </c>
      <c r="C2492" s="2"/>
      <c r="D2492" s="2" t="s">
        <v>16</v>
      </c>
      <c r="E2492" s="4">
        <f>2.25*(1-Z1%)</f>
        <v>2.25</v>
      </c>
      <c r="F2492" s="2">
        <v>2</v>
      </c>
      <c r="G2492" s="2"/>
    </row>
    <row r="2493" spans="1:26" customHeight="1" ht="18" hidden="true" outlineLevel="4">
      <c r="A2493" s="2" t="s">
        <v>4708</v>
      </c>
      <c r="B2493" s="3" t="s">
        <v>4709</v>
      </c>
      <c r="C2493" s="2"/>
      <c r="D2493" s="2" t="s">
        <v>16</v>
      </c>
      <c r="E2493" s="4">
        <f>2.39*(1-Z1%)</f>
        <v>2.39</v>
      </c>
      <c r="F2493" s="2">
        <v>100</v>
      </c>
      <c r="G2493" s="2"/>
    </row>
    <row r="2494" spans="1:26" customHeight="1" ht="18" hidden="true" outlineLevel="4">
      <c r="A2494" s="2" t="s">
        <v>4710</v>
      </c>
      <c r="B2494" s="3" t="s">
        <v>4711</v>
      </c>
      <c r="C2494" s="2"/>
      <c r="D2494" s="2" t="s">
        <v>16</v>
      </c>
      <c r="E2494" s="4">
        <f>5.50*(1-Z1%)</f>
        <v>5.5</v>
      </c>
      <c r="F2494" s="2">
        <v>180</v>
      </c>
      <c r="G2494" s="2"/>
    </row>
    <row r="2495" spans="1:26" customHeight="1" ht="18" hidden="true" outlineLevel="4">
      <c r="A2495" s="2" t="s">
        <v>4712</v>
      </c>
      <c r="B2495" s="3" t="s">
        <v>4713</v>
      </c>
      <c r="C2495" s="2"/>
      <c r="D2495" s="2" t="s">
        <v>16</v>
      </c>
      <c r="E2495" s="4">
        <f>5.93*(1-Z1%)</f>
        <v>5.93</v>
      </c>
      <c r="F2495" s="2">
        <v>70</v>
      </c>
      <c r="G2495" s="2"/>
    </row>
    <row r="2496" spans="1:26" customHeight="1" ht="36" hidden="true" outlineLevel="4">
      <c r="A2496" s="2" t="s">
        <v>4714</v>
      </c>
      <c r="B2496" s="3" t="s">
        <v>4715</v>
      </c>
      <c r="C2496" s="2"/>
      <c r="D2496" s="2" t="s">
        <v>16</v>
      </c>
      <c r="E2496" s="4">
        <f>3.20*(1-Z1%)</f>
        <v>3.2</v>
      </c>
      <c r="F2496" s="2">
        <v>100</v>
      </c>
      <c r="G2496" s="2"/>
    </row>
    <row r="2497" spans="1:26" customHeight="1" ht="18" hidden="true" outlineLevel="4">
      <c r="A2497" s="2" t="s">
        <v>4716</v>
      </c>
      <c r="B2497" s="3" t="s">
        <v>4717</v>
      </c>
      <c r="C2497" s="2"/>
      <c r="D2497" s="2" t="s">
        <v>16</v>
      </c>
      <c r="E2497" s="4">
        <f>2.12*(1-Z1%)</f>
        <v>2.12</v>
      </c>
      <c r="F2497" s="2">
        <v>100</v>
      </c>
      <c r="G2497" s="2"/>
    </row>
    <row r="2498" spans="1:26" customHeight="1" ht="18" hidden="true" outlineLevel="4">
      <c r="A2498" s="2" t="s">
        <v>4718</v>
      </c>
      <c r="B2498" s="3" t="s">
        <v>4719</v>
      </c>
      <c r="C2498" s="2"/>
      <c r="D2498" s="2" t="s">
        <v>16</v>
      </c>
      <c r="E2498" s="4">
        <f>10.89*(1-Z1%)</f>
        <v>10.89</v>
      </c>
      <c r="F2498" s="2">
        <v>100</v>
      </c>
      <c r="G2498" s="2"/>
    </row>
    <row r="2499" spans="1:26" customHeight="1" ht="18" hidden="true" outlineLevel="4">
      <c r="A2499" s="2" t="s">
        <v>4720</v>
      </c>
      <c r="B2499" s="3" t="s">
        <v>4721</v>
      </c>
      <c r="C2499" s="2"/>
      <c r="D2499" s="2" t="s">
        <v>16</v>
      </c>
      <c r="E2499" s="4">
        <f>10.52*(1-Z1%)</f>
        <v>10.52</v>
      </c>
      <c r="F2499" s="2">
        <v>200</v>
      </c>
      <c r="G2499" s="2"/>
    </row>
    <row r="2500" spans="1:26" customHeight="1" ht="18" hidden="true" outlineLevel="4">
      <c r="A2500" s="2" t="s">
        <v>4722</v>
      </c>
      <c r="B2500" s="3" t="s">
        <v>4723</v>
      </c>
      <c r="C2500" s="2"/>
      <c r="D2500" s="2" t="s">
        <v>16</v>
      </c>
      <c r="E2500" s="4">
        <f>4.09*(1-Z1%)</f>
        <v>4.09</v>
      </c>
      <c r="F2500" s="2">
        <v>100</v>
      </c>
      <c r="G2500" s="2"/>
    </row>
    <row r="2501" spans="1:26" customHeight="1" ht="18" hidden="true" outlineLevel="4">
      <c r="A2501" s="2" t="s">
        <v>4724</v>
      </c>
      <c r="B2501" s="3" t="s">
        <v>4725</v>
      </c>
      <c r="C2501" s="2"/>
      <c r="D2501" s="2" t="s">
        <v>16</v>
      </c>
      <c r="E2501" s="4">
        <f>7.33*(1-Z1%)</f>
        <v>7.33</v>
      </c>
      <c r="F2501" s="2">
        <v>50</v>
      </c>
      <c r="G2501" s="2"/>
    </row>
    <row r="2502" spans="1:26" customHeight="1" ht="18" hidden="true" outlineLevel="4">
      <c r="A2502" s="2" t="s">
        <v>4726</v>
      </c>
      <c r="B2502" s="3" t="s">
        <v>4727</v>
      </c>
      <c r="C2502" s="2"/>
      <c r="D2502" s="2" t="s">
        <v>16</v>
      </c>
      <c r="E2502" s="4">
        <f>15.71*(1-Z1%)</f>
        <v>15.71</v>
      </c>
      <c r="F2502" s="2">
        <v>50</v>
      </c>
      <c r="G2502" s="2"/>
    </row>
    <row r="2503" spans="1:26" customHeight="1" ht="18" hidden="true" outlineLevel="4">
      <c r="A2503" s="2" t="s">
        <v>4728</v>
      </c>
      <c r="B2503" s="3" t="s">
        <v>4729</v>
      </c>
      <c r="C2503" s="2"/>
      <c r="D2503" s="2" t="s">
        <v>16</v>
      </c>
      <c r="E2503" s="4">
        <f>9.78*(1-Z1%)</f>
        <v>9.78</v>
      </c>
      <c r="F2503" s="2">
        <v>200</v>
      </c>
      <c r="G2503" s="2"/>
    </row>
    <row r="2504" spans="1:26" customHeight="1" ht="18" hidden="true" outlineLevel="4">
      <c r="A2504" s="2" t="s">
        <v>4730</v>
      </c>
      <c r="B2504" s="3" t="s">
        <v>4731</v>
      </c>
      <c r="C2504" s="2"/>
      <c r="D2504" s="2" t="s">
        <v>16</v>
      </c>
      <c r="E2504" s="4">
        <f>5.82*(1-Z1%)</f>
        <v>5.82</v>
      </c>
      <c r="F2504" s="2">
        <v>50</v>
      </c>
      <c r="G2504" s="2"/>
    </row>
    <row r="2505" spans="1:26" customHeight="1" ht="18" hidden="true" outlineLevel="4">
      <c r="A2505" s="2" t="s">
        <v>4732</v>
      </c>
      <c r="B2505" s="3" t="s">
        <v>4733</v>
      </c>
      <c r="C2505" s="2"/>
      <c r="D2505" s="2" t="s">
        <v>16</v>
      </c>
      <c r="E2505" s="4">
        <f>22.22*(1-Z1%)</f>
        <v>22.22</v>
      </c>
      <c r="F2505" s="2">
        <v>50</v>
      </c>
      <c r="G2505" s="2"/>
    </row>
    <row r="2506" spans="1:26" customHeight="1" ht="18" hidden="true" outlineLevel="4">
      <c r="A2506" s="2" t="s">
        <v>4734</v>
      </c>
      <c r="B2506" s="3" t="s">
        <v>4735</v>
      </c>
      <c r="C2506" s="2"/>
      <c r="D2506" s="2" t="s">
        <v>16</v>
      </c>
      <c r="E2506" s="4">
        <f>12.63*(1-Z1%)</f>
        <v>12.63</v>
      </c>
      <c r="F2506" s="2">
        <v>100</v>
      </c>
      <c r="G2506" s="2"/>
    </row>
    <row r="2507" spans="1:26" customHeight="1" ht="35" hidden="true" outlineLevel="4">
      <c r="A2507" s="5" t="s">
        <v>4736</v>
      </c>
      <c r="B2507" s="5"/>
      <c r="C2507" s="5"/>
      <c r="D2507" s="5"/>
      <c r="E2507" s="5"/>
      <c r="F2507" s="5"/>
      <c r="G2507" s="5"/>
    </row>
    <row r="2508" spans="1:26" customHeight="1" ht="18" hidden="true" outlineLevel="4">
      <c r="A2508" s="2" t="s">
        <v>4737</v>
      </c>
      <c r="B2508" s="3" t="s">
        <v>4738</v>
      </c>
      <c r="C2508" s="2"/>
      <c r="D2508" s="2" t="s">
        <v>16</v>
      </c>
      <c r="E2508" s="4">
        <f>14.09*(1-Z1%)</f>
        <v>14.09</v>
      </c>
      <c r="F2508" s="2">
        <v>10</v>
      </c>
      <c r="G2508" s="2"/>
    </row>
    <row r="2509" spans="1:26" customHeight="1" ht="35" hidden="true" outlineLevel="3">
      <c r="A2509" s="5" t="s">
        <v>4739</v>
      </c>
      <c r="B2509" s="5"/>
      <c r="C2509" s="5"/>
      <c r="D2509" s="5"/>
      <c r="E2509" s="5"/>
      <c r="F2509" s="5"/>
      <c r="G2509" s="5"/>
    </row>
    <row r="2510" spans="1:26" customHeight="1" ht="18" hidden="true" outlineLevel="3">
      <c r="A2510" s="2" t="s">
        <v>4740</v>
      </c>
      <c r="B2510" s="3" t="s">
        <v>4741</v>
      </c>
      <c r="C2510" s="2"/>
      <c r="D2510" s="2" t="s">
        <v>16</v>
      </c>
      <c r="E2510" s="4">
        <f>102.35*(1-Z1%)</f>
        <v>102.35</v>
      </c>
      <c r="F2510" s="2">
        <v>20</v>
      </c>
      <c r="G2510" s="2"/>
    </row>
    <row r="2511" spans="1:26" customHeight="1" ht="18" hidden="true" outlineLevel="3">
      <c r="A2511" s="2" t="s">
        <v>4742</v>
      </c>
      <c r="B2511" s="3" t="s">
        <v>4741</v>
      </c>
      <c r="C2511" s="2"/>
      <c r="D2511" s="2" t="s">
        <v>16</v>
      </c>
      <c r="E2511" s="4">
        <f>109.13*(1-Z1%)</f>
        <v>109.13</v>
      </c>
      <c r="F2511" s="2">
        <v>14</v>
      </c>
      <c r="G2511" s="2"/>
    </row>
    <row r="2512" spans="1:26" customHeight="1" ht="18" hidden="true" outlineLevel="3">
      <c r="A2512" s="2" t="s">
        <v>4743</v>
      </c>
      <c r="B2512" s="3" t="s">
        <v>4744</v>
      </c>
      <c r="C2512" s="2"/>
      <c r="D2512" s="2" t="s">
        <v>16</v>
      </c>
      <c r="E2512" s="4">
        <f>115.44*(1-Z1%)</f>
        <v>115.44</v>
      </c>
      <c r="F2512" s="2">
        <v>20</v>
      </c>
      <c r="G2512" s="2"/>
    </row>
    <row r="2513" spans="1:26" customHeight="1" ht="18" hidden="true" outlineLevel="3">
      <c r="A2513" s="2" t="s">
        <v>4745</v>
      </c>
      <c r="B2513" s="3" t="s">
        <v>4746</v>
      </c>
      <c r="C2513" s="2"/>
      <c r="D2513" s="2" t="s">
        <v>16</v>
      </c>
      <c r="E2513" s="4">
        <f>129.36*(1-Z1%)</f>
        <v>129.36</v>
      </c>
      <c r="F2513" s="2">
        <v>20</v>
      </c>
      <c r="G2513" s="2"/>
    </row>
    <row r="2514" spans="1:26" customHeight="1" ht="18" hidden="true" outlineLevel="3">
      <c r="A2514" s="2" t="s">
        <v>4747</v>
      </c>
      <c r="B2514" s="3" t="s">
        <v>4748</v>
      </c>
      <c r="C2514" s="2"/>
      <c r="D2514" s="2" t="s">
        <v>16</v>
      </c>
      <c r="E2514" s="4">
        <f>111.03*(1-Z1%)</f>
        <v>111.03</v>
      </c>
      <c r="F2514" s="2">
        <v>7</v>
      </c>
      <c r="G2514" s="2"/>
    </row>
    <row r="2515" spans="1:26" customHeight="1" ht="36" hidden="true" outlineLevel="3">
      <c r="A2515" s="2" t="s">
        <v>4749</v>
      </c>
      <c r="B2515" s="3" t="s">
        <v>4750</v>
      </c>
      <c r="C2515" s="2"/>
      <c r="D2515" s="2" t="s">
        <v>16</v>
      </c>
      <c r="E2515" s="4">
        <f>113.95*(1-Z1%)</f>
        <v>113.95</v>
      </c>
      <c r="F2515" s="2">
        <v>10</v>
      </c>
      <c r="G2515" s="2"/>
    </row>
    <row r="2516" spans="1:26" customHeight="1" ht="36" hidden="true" outlineLevel="3">
      <c r="A2516" s="2" t="s">
        <v>4751</v>
      </c>
      <c r="B2516" s="3" t="s">
        <v>4752</v>
      </c>
      <c r="C2516" s="2"/>
      <c r="D2516" s="2" t="s">
        <v>16</v>
      </c>
      <c r="E2516" s="4">
        <f>143.75*(1-Z1%)</f>
        <v>143.75</v>
      </c>
      <c r="F2516" s="2">
        <v>18</v>
      </c>
      <c r="G2516" s="2"/>
    </row>
    <row r="2517" spans="1:26" customHeight="1" ht="36" hidden="true" outlineLevel="3">
      <c r="A2517" s="2" t="s">
        <v>4753</v>
      </c>
      <c r="B2517" s="3" t="s">
        <v>4754</v>
      </c>
      <c r="C2517" s="2"/>
      <c r="D2517" s="2" t="s">
        <v>16</v>
      </c>
      <c r="E2517" s="4">
        <f>82.69*(1-Z1%)</f>
        <v>82.69</v>
      </c>
      <c r="F2517" s="2">
        <v>1</v>
      </c>
      <c r="G2517" s="2"/>
    </row>
    <row r="2518" spans="1:26" customHeight="1" ht="18" hidden="true" outlineLevel="3">
      <c r="A2518" s="2" t="s">
        <v>4755</v>
      </c>
      <c r="B2518" s="3" t="s">
        <v>4756</v>
      </c>
      <c r="C2518" s="2"/>
      <c r="D2518" s="2" t="s">
        <v>16</v>
      </c>
      <c r="E2518" s="4">
        <f>82.69*(1-Z1%)</f>
        <v>82.69</v>
      </c>
      <c r="F2518" s="2">
        <v>9</v>
      </c>
      <c r="G2518" s="2"/>
    </row>
    <row r="2519" spans="1:26" customHeight="1" ht="36" hidden="true" outlineLevel="3">
      <c r="A2519" s="2" t="s">
        <v>4757</v>
      </c>
      <c r="B2519" s="3" t="s">
        <v>4758</v>
      </c>
      <c r="C2519" s="2"/>
      <c r="D2519" s="2" t="s">
        <v>16</v>
      </c>
      <c r="E2519" s="4">
        <f>61.14*(1-Z1%)</f>
        <v>61.14</v>
      </c>
      <c r="F2519" s="2">
        <v>4</v>
      </c>
      <c r="G2519" s="2"/>
    </row>
    <row r="2520" spans="1:26" customHeight="1" ht="18" hidden="true" outlineLevel="3">
      <c r="A2520" s="2" t="s">
        <v>4759</v>
      </c>
      <c r="B2520" s="3" t="s">
        <v>4760</v>
      </c>
      <c r="C2520" s="2"/>
      <c r="D2520" s="2" t="s">
        <v>16</v>
      </c>
      <c r="E2520" s="4">
        <f>96.87*(1-Z1%)</f>
        <v>96.87</v>
      </c>
      <c r="F2520" s="2">
        <v>3</v>
      </c>
      <c r="G2520" s="2"/>
    </row>
    <row r="2521" spans="1:26" customHeight="1" ht="35" hidden="true" outlineLevel="2">
      <c r="A2521" s="5" t="s">
        <v>4761</v>
      </c>
      <c r="B2521" s="5"/>
      <c r="C2521" s="5"/>
      <c r="D2521" s="5"/>
      <c r="E2521" s="5"/>
      <c r="F2521" s="5"/>
      <c r="G2521" s="5"/>
    </row>
    <row r="2522" spans="1:26" customHeight="1" ht="36" hidden="true" outlineLevel="2">
      <c r="A2522" s="2" t="s">
        <v>4762</v>
      </c>
      <c r="B2522" s="3" t="s">
        <v>4763</v>
      </c>
      <c r="C2522" s="2"/>
      <c r="D2522" s="2" t="s">
        <v>16</v>
      </c>
      <c r="E2522" s="4">
        <f>680.63*(1-Z1%)</f>
        <v>680.63</v>
      </c>
      <c r="F2522" s="2">
        <v>38</v>
      </c>
      <c r="G2522" s="2"/>
    </row>
    <row r="2523" spans="1:26" customHeight="1" ht="36" hidden="true" outlineLevel="2">
      <c r="A2523" s="2" t="s">
        <v>4764</v>
      </c>
      <c r="B2523" s="3" t="s">
        <v>4765</v>
      </c>
      <c r="C2523" s="2"/>
      <c r="D2523" s="2" t="s">
        <v>16</v>
      </c>
      <c r="E2523" s="4">
        <f>776.25*(1-Z1%)</f>
        <v>776.25</v>
      </c>
      <c r="F2523" s="2">
        <v>1</v>
      </c>
      <c r="G2523" s="2"/>
    </row>
    <row r="2524" spans="1:26" customHeight="1" ht="36" hidden="true" outlineLevel="2">
      <c r="A2524" s="2" t="s">
        <v>4766</v>
      </c>
      <c r="B2524" s="3" t="s">
        <v>4767</v>
      </c>
      <c r="C2524" s="2"/>
      <c r="D2524" s="2" t="s">
        <v>16</v>
      </c>
      <c r="E2524" s="4">
        <f>949.73*(1-Z1%)</f>
        <v>949.73</v>
      </c>
      <c r="F2524" s="2">
        <v>1</v>
      </c>
      <c r="G2524" s="2"/>
    </row>
    <row r="2525" spans="1:26" customHeight="1" ht="18" hidden="true" outlineLevel="2">
      <c r="A2525" s="2" t="s">
        <v>4768</v>
      </c>
      <c r="B2525" s="3" t="s">
        <v>4769</v>
      </c>
      <c r="C2525" s="2"/>
      <c r="D2525" s="2" t="s">
        <v>16</v>
      </c>
      <c r="E2525" s="4">
        <f>699.19*(1-Z1%)</f>
        <v>699.19</v>
      </c>
      <c r="F2525" s="2">
        <v>1</v>
      </c>
      <c r="G2525" s="2"/>
    </row>
    <row r="2526" spans="1:26" customHeight="1" ht="54" hidden="true" outlineLevel="2">
      <c r="A2526" s="2" t="s">
        <v>4770</v>
      </c>
      <c r="B2526" s="3" t="s">
        <v>4771</v>
      </c>
      <c r="C2526" s="2"/>
      <c r="D2526" s="2" t="s">
        <v>16</v>
      </c>
      <c r="E2526" s="4">
        <f>850.50*(1-Z1%)</f>
        <v>850.5</v>
      </c>
      <c r="F2526" s="2">
        <v>1</v>
      </c>
      <c r="G2526" s="2"/>
    </row>
    <row r="2527" spans="1:26" customHeight="1" ht="35">
      <c r="A2527" s="1" t="s">
        <v>4772</v>
      </c>
      <c r="B2527" s="1"/>
      <c r="C2527" s="1"/>
      <c r="D2527" s="1"/>
      <c r="E2527" s="1"/>
      <c r="F2527" s="1"/>
      <c r="G2527" s="1"/>
    </row>
    <row r="2528" spans="1:26" customHeight="1" ht="35" hidden="true" outlineLevel="2">
      <c r="A2528" s="5" t="s">
        <v>4773</v>
      </c>
      <c r="B2528" s="5"/>
      <c r="C2528" s="5"/>
      <c r="D2528" s="5"/>
      <c r="E2528" s="5"/>
      <c r="F2528" s="5"/>
      <c r="G2528" s="5"/>
    </row>
    <row r="2529" spans="1:26" customHeight="1" ht="35" hidden="true" outlineLevel="3">
      <c r="A2529" s="5" t="s">
        <v>4774</v>
      </c>
      <c r="B2529" s="5"/>
      <c r="C2529" s="5"/>
      <c r="D2529" s="5"/>
      <c r="E2529" s="5"/>
      <c r="F2529" s="5"/>
      <c r="G2529" s="5"/>
    </row>
    <row r="2530" spans="1:26" customHeight="1" ht="36" hidden="true" outlineLevel="3">
      <c r="A2530" s="2" t="s">
        <v>4775</v>
      </c>
      <c r="B2530" s="3" t="s">
        <v>4776</v>
      </c>
      <c r="C2530" s="2"/>
      <c r="D2530" s="2" t="s">
        <v>16</v>
      </c>
      <c r="E2530" s="4">
        <f>335.05*(1-Z1%)</f>
        <v>335.05</v>
      </c>
      <c r="F2530" s="2">
        <v>1</v>
      </c>
      <c r="G2530" s="2"/>
    </row>
    <row r="2531" spans="1:26" customHeight="1" ht="36" hidden="true" outlineLevel="3">
      <c r="A2531" s="2" t="s">
        <v>4777</v>
      </c>
      <c r="B2531" s="3" t="s">
        <v>4778</v>
      </c>
      <c r="C2531" s="2"/>
      <c r="D2531" s="2" t="s">
        <v>16</v>
      </c>
      <c r="E2531" s="4">
        <f>499.64*(1-Z1%)</f>
        <v>499.64</v>
      </c>
      <c r="F2531" s="2">
        <v>3</v>
      </c>
      <c r="G2531" s="2"/>
    </row>
    <row r="2532" spans="1:26" customHeight="1" ht="36" hidden="true" outlineLevel="3">
      <c r="A2532" s="2" t="s">
        <v>4779</v>
      </c>
      <c r="B2532" s="3" t="s">
        <v>4780</v>
      </c>
      <c r="C2532" s="2"/>
      <c r="D2532" s="2" t="s">
        <v>16</v>
      </c>
      <c r="E2532" s="4">
        <f>395.01*(1-Z1%)</f>
        <v>395.01</v>
      </c>
      <c r="F2532" s="2">
        <v>2</v>
      </c>
      <c r="G2532" s="2"/>
    </row>
    <row r="2533" spans="1:26" customHeight="1" ht="18" hidden="true" outlineLevel="3">
      <c r="A2533" s="2" t="s">
        <v>4781</v>
      </c>
      <c r="B2533" s="3" t="s">
        <v>4782</v>
      </c>
      <c r="C2533" s="2"/>
      <c r="D2533" s="2" t="s">
        <v>16</v>
      </c>
      <c r="E2533" s="4">
        <f>564.30*(1-Z1%)</f>
        <v>564.3</v>
      </c>
      <c r="F2533" s="2">
        <v>1</v>
      </c>
      <c r="G2533" s="2"/>
    </row>
    <row r="2534" spans="1:26" customHeight="1" ht="18" hidden="true" outlineLevel="3">
      <c r="A2534" s="2" t="s">
        <v>4783</v>
      </c>
      <c r="B2534" s="3" t="s">
        <v>4784</v>
      </c>
      <c r="C2534" s="2"/>
      <c r="D2534" s="2" t="s">
        <v>16</v>
      </c>
      <c r="E2534" s="4">
        <f>382.08*(1-Z1%)</f>
        <v>382.08</v>
      </c>
      <c r="F2534" s="2">
        <v>2</v>
      </c>
      <c r="G2534" s="2"/>
    </row>
    <row r="2535" spans="1:26" customHeight="1" ht="36" hidden="true" outlineLevel="3">
      <c r="A2535" s="2" t="s">
        <v>4785</v>
      </c>
      <c r="B2535" s="3" t="s">
        <v>4786</v>
      </c>
      <c r="C2535" s="2"/>
      <c r="D2535" s="2" t="s">
        <v>16</v>
      </c>
      <c r="E2535" s="4">
        <f>364.45*(1-Z1%)</f>
        <v>364.45</v>
      </c>
      <c r="F2535" s="2">
        <v>1</v>
      </c>
      <c r="G2535" s="2"/>
    </row>
    <row r="2536" spans="1:26" customHeight="1" ht="36" hidden="true" outlineLevel="3">
      <c r="A2536" s="2" t="s">
        <v>4787</v>
      </c>
      <c r="B2536" s="3" t="s">
        <v>4788</v>
      </c>
      <c r="C2536" s="2"/>
      <c r="D2536" s="2" t="s">
        <v>16</v>
      </c>
      <c r="E2536" s="4">
        <f>201.03*(1-Z1%)</f>
        <v>201.03</v>
      </c>
      <c r="F2536" s="2">
        <v>1</v>
      </c>
      <c r="G2536" s="2"/>
    </row>
    <row r="2537" spans="1:26" customHeight="1" ht="18" hidden="true" outlineLevel="3">
      <c r="A2537" s="2" t="s">
        <v>4789</v>
      </c>
      <c r="B2537" s="3" t="s">
        <v>4790</v>
      </c>
      <c r="C2537" s="2"/>
      <c r="D2537" s="2" t="s">
        <v>16</v>
      </c>
      <c r="E2537" s="4">
        <f>10.35*(1-Z1%)</f>
        <v>10.35</v>
      </c>
      <c r="F2537" s="2">
        <v>38</v>
      </c>
      <c r="G2537" s="2"/>
    </row>
    <row r="2538" spans="1:26" customHeight="1" ht="35" hidden="true" outlineLevel="3">
      <c r="A2538" s="5" t="s">
        <v>4791</v>
      </c>
      <c r="B2538" s="5"/>
      <c r="C2538" s="5"/>
      <c r="D2538" s="5"/>
      <c r="E2538" s="5"/>
      <c r="F2538" s="5"/>
      <c r="G2538" s="5"/>
    </row>
    <row r="2539" spans="1:26" customHeight="1" ht="18" hidden="true" outlineLevel="3">
      <c r="A2539" s="2" t="s">
        <v>4792</v>
      </c>
      <c r="B2539" s="3" t="s">
        <v>4793</v>
      </c>
      <c r="C2539" s="2"/>
      <c r="D2539" s="2" t="s">
        <v>16</v>
      </c>
      <c r="E2539" s="4">
        <f>341.16*(1-Z1%)</f>
        <v>341.16</v>
      </c>
      <c r="F2539" s="2">
        <v>5</v>
      </c>
      <c r="G2539" s="2"/>
    </row>
    <row r="2540" spans="1:26" customHeight="1" ht="18" hidden="true" outlineLevel="3">
      <c r="A2540" s="2" t="s">
        <v>4794</v>
      </c>
      <c r="B2540" s="3" t="s">
        <v>4795</v>
      </c>
      <c r="C2540" s="2"/>
      <c r="D2540" s="2" t="s">
        <v>16</v>
      </c>
      <c r="E2540" s="4">
        <f>399.96*(1-Z1%)</f>
        <v>399.96</v>
      </c>
      <c r="F2540" s="2">
        <v>6</v>
      </c>
      <c r="G2540" s="2"/>
    </row>
    <row r="2541" spans="1:26" customHeight="1" ht="18" hidden="true" outlineLevel="3">
      <c r="A2541" s="2" t="s">
        <v>4796</v>
      </c>
      <c r="B2541" s="3" t="s">
        <v>4797</v>
      </c>
      <c r="C2541" s="2"/>
      <c r="D2541" s="2" t="s">
        <v>16</v>
      </c>
      <c r="E2541" s="4">
        <f>452.82*(1-Z1%)</f>
        <v>452.82</v>
      </c>
      <c r="F2541" s="2">
        <v>2</v>
      </c>
      <c r="G2541" s="2"/>
    </row>
    <row r="2542" spans="1:26" customHeight="1" ht="18" hidden="true" outlineLevel="3">
      <c r="A2542" s="2" t="s">
        <v>4798</v>
      </c>
      <c r="B2542" s="3" t="s">
        <v>4799</v>
      </c>
      <c r="C2542" s="2"/>
      <c r="D2542" s="2" t="s">
        <v>16</v>
      </c>
      <c r="E2542" s="4">
        <f>840.94*(1-Z1%)</f>
        <v>840.94</v>
      </c>
      <c r="F2542" s="2">
        <v>6</v>
      </c>
      <c r="G2542" s="2"/>
    </row>
    <row r="2543" spans="1:26" customHeight="1" ht="18" hidden="true" outlineLevel="3">
      <c r="A2543" s="2" t="s">
        <v>4800</v>
      </c>
      <c r="B2543" s="3" t="s">
        <v>4801</v>
      </c>
      <c r="C2543" s="2"/>
      <c r="D2543" s="2" t="s">
        <v>16</v>
      </c>
      <c r="E2543" s="4">
        <f>905.63*(1-Z1%)</f>
        <v>905.63</v>
      </c>
      <c r="F2543" s="2">
        <v>1</v>
      </c>
      <c r="G2543" s="2"/>
    </row>
    <row r="2544" spans="1:26" customHeight="1" ht="18" hidden="true" outlineLevel="3">
      <c r="A2544" s="2" t="s">
        <v>4802</v>
      </c>
      <c r="B2544" s="3" t="s">
        <v>4803</v>
      </c>
      <c r="C2544" s="2"/>
      <c r="D2544" s="2" t="s">
        <v>16</v>
      </c>
      <c r="E2544" s="4">
        <f>840.94*(1-Z1%)</f>
        <v>840.94</v>
      </c>
      <c r="F2544" s="2">
        <v>4</v>
      </c>
      <c r="G2544" s="2"/>
    </row>
    <row r="2545" spans="1:26" customHeight="1" ht="18" hidden="true" outlineLevel="3">
      <c r="A2545" s="2" t="s">
        <v>4804</v>
      </c>
      <c r="B2545" s="3" t="s">
        <v>4805</v>
      </c>
      <c r="C2545" s="2"/>
      <c r="D2545" s="2" t="s">
        <v>16</v>
      </c>
      <c r="E2545" s="4">
        <f>905.63*(1-Z1%)</f>
        <v>905.63</v>
      </c>
      <c r="F2545" s="2">
        <v>4</v>
      </c>
      <c r="G2545" s="2"/>
    </row>
    <row r="2546" spans="1:26" customHeight="1" ht="18" hidden="true" outlineLevel="3">
      <c r="A2546" s="2" t="s">
        <v>4806</v>
      </c>
      <c r="B2546" s="3" t="s">
        <v>4807</v>
      </c>
      <c r="C2546" s="2"/>
      <c r="D2546" s="2" t="s">
        <v>16</v>
      </c>
      <c r="E2546" s="4">
        <f>905.63*(1-Z1%)</f>
        <v>905.63</v>
      </c>
      <c r="F2546" s="2">
        <v>2</v>
      </c>
      <c r="G2546" s="2"/>
    </row>
    <row r="2547" spans="1:26" customHeight="1" ht="18" hidden="true" outlineLevel="3">
      <c r="A2547" s="2" t="s">
        <v>4808</v>
      </c>
      <c r="B2547" s="3" t="s">
        <v>4809</v>
      </c>
      <c r="C2547" s="2"/>
      <c r="D2547" s="2" t="s">
        <v>16</v>
      </c>
      <c r="E2547" s="4">
        <f>776.25*(1-Z1%)</f>
        <v>776.25</v>
      </c>
      <c r="F2547" s="2">
        <v>1</v>
      </c>
      <c r="G2547" s="2"/>
    </row>
    <row r="2548" spans="1:26" customHeight="1" ht="18" hidden="true" outlineLevel="3">
      <c r="A2548" s="2" t="s">
        <v>4810</v>
      </c>
      <c r="B2548" s="3" t="s">
        <v>4811</v>
      </c>
      <c r="C2548" s="2"/>
      <c r="D2548" s="2" t="s">
        <v>16</v>
      </c>
      <c r="E2548" s="4">
        <f>282.31*(1-Z1%)</f>
        <v>282.31</v>
      </c>
      <c r="F2548" s="2">
        <v>3</v>
      </c>
      <c r="G2548" s="2"/>
    </row>
    <row r="2549" spans="1:26" customHeight="1" ht="18" hidden="true" outlineLevel="3">
      <c r="A2549" s="2" t="s">
        <v>4812</v>
      </c>
      <c r="B2549" s="3" t="s">
        <v>4813</v>
      </c>
      <c r="C2549" s="2"/>
      <c r="D2549" s="2" t="s">
        <v>16</v>
      </c>
      <c r="E2549" s="4">
        <f>352.92*(1-Z1%)</f>
        <v>352.92</v>
      </c>
      <c r="F2549" s="2">
        <v>1</v>
      </c>
      <c r="G2549" s="2"/>
    </row>
    <row r="2550" spans="1:26" customHeight="1" ht="18" hidden="true" outlineLevel="3">
      <c r="A2550" s="2" t="s">
        <v>4814</v>
      </c>
      <c r="B2550" s="3" t="s">
        <v>4815</v>
      </c>
      <c r="C2550" s="2"/>
      <c r="D2550" s="2" t="s">
        <v>16</v>
      </c>
      <c r="E2550" s="4">
        <f>452.82*(1-Z1%)</f>
        <v>452.82</v>
      </c>
      <c r="F2550" s="2">
        <v>3</v>
      </c>
      <c r="G2550" s="2"/>
    </row>
    <row r="2551" spans="1:26" customHeight="1" ht="18" hidden="true" outlineLevel="3">
      <c r="A2551" s="2" t="s">
        <v>4816</v>
      </c>
      <c r="B2551" s="3" t="s">
        <v>4817</v>
      </c>
      <c r="C2551" s="2"/>
      <c r="D2551" s="2" t="s">
        <v>16</v>
      </c>
      <c r="E2551" s="4">
        <f>517.60*(1-Z1%)</f>
        <v>517.6</v>
      </c>
      <c r="F2551" s="2">
        <v>6</v>
      </c>
      <c r="G2551" s="2"/>
    </row>
    <row r="2552" spans="1:26" customHeight="1" ht="35" hidden="true" outlineLevel="3">
      <c r="A2552" s="5" t="s">
        <v>4818</v>
      </c>
      <c r="B2552" s="5"/>
      <c r="C2552" s="5"/>
      <c r="D2552" s="5"/>
      <c r="E2552" s="5"/>
      <c r="F2552" s="5"/>
      <c r="G2552" s="5"/>
    </row>
    <row r="2553" spans="1:26" customHeight="1" ht="35" hidden="true" outlineLevel="4">
      <c r="A2553" s="5" t="s">
        <v>4819</v>
      </c>
      <c r="B2553" s="5"/>
      <c r="C2553" s="5"/>
      <c r="D2553" s="5"/>
      <c r="E2553" s="5"/>
      <c r="F2553" s="5"/>
      <c r="G2553" s="5"/>
    </row>
    <row r="2554" spans="1:26" customHeight="1" ht="18" hidden="true" outlineLevel="4">
      <c r="A2554" s="2" t="s">
        <v>4820</v>
      </c>
      <c r="B2554" s="3" t="s">
        <v>4821</v>
      </c>
      <c r="C2554" s="2"/>
      <c r="D2554" s="2" t="s">
        <v>16</v>
      </c>
      <c r="E2554" s="4">
        <f>835.87*(1-Z1%)</f>
        <v>835.87</v>
      </c>
      <c r="F2554" s="2">
        <v>1</v>
      </c>
      <c r="G2554" s="2"/>
    </row>
    <row r="2555" spans="1:26" customHeight="1" ht="18" hidden="true" outlineLevel="4">
      <c r="A2555" s="2" t="s">
        <v>4822</v>
      </c>
      <c r="B2555" s="3" t="s">
        <v>4823</v>
      </c>
      <c r="C2555" s="2"/>
      <c r="D2555" s="2" t="s">
        <v>16</v>
      </c>
      <c r="E2555" s="4">
        <f>1108.61*(1-Z1%)</f>
        <v>1108.61</v>
      </c>
      <c r="F2555" s="2">
        <v>1</v>
      </c>
      <c r="G2555" s="2"/>
    </row>
    <row r="2556" spans="1:26" customHeight="1" ht="35" hidden="true" outlineLevel="4">
      <c r="A2556" s="5" t="s">
        <v>4824</v>
      </c>
      <c r="B2556" s="5"/>
      <c r="C2556" s="5"/>
      <c r="D2556" s="5"/>
      <c r="E2556" s="5"/>
      <c r="F2556" s="5"/>
      <c r="G2556" s="5"/>
    </row>
    <row r="2557" spans="1:26" customHeight="1" ht="18" hidden="true" outlineLevel="4">
      <c r="A2557" s="2" t="s">
        <v>4825</v>
      </c>
      <c r="B2557" s="3" t="s">
        <v>4826</v>
      </c>
      <c r="C2557" s="2"/>
      <c r="D2557" s="2" t="s">
        <v>16</v>
      </c>
      <c r="E2557" s="4">
        <f>389.13*(1-Z1%)</f>
        <v>389.13</v>
      </c>
      <c r="F2557" s="2">
        <v>30</v>
      </c>
      <c r="G2557" s="2"/>
    </row>
    <row r="2558" spans="1:26" customHeight="1" ht="18" hidden="true" outlineLevel="4">
      <c r="A2558" s="2" t="s">
        <v>4827</v>
      </c>
      <c r="B2558" s="3" t="s">
        <v>4828</v>
      </c>
      <c r="C2558" s="2"/>
      <c r="D2558" s="2" t="s">
        <v>16</v>
      </c>
      <c r="E2558" s="4">
        <f>516.10*(1-Z1%)</f>
        <v>516.1</v>
      </c>
      <c r="F2558" s="2">
        <v>3</v>
      </c>
      <c r="G2558" s="2"/>
    </row>
    <row r="2559" spans="1:26" customHeight="1" ht="18" hidden="true" outlineLevel="4">
      <c r="A2559" s="2" t="s">
        <v>4829</v>
      </c>
      <c r="B2559" s="3" t="s">
        <v>4830</v>
      </c>
      <c r="C2559" s="2"/>
      <c r="D2559" s="2" t="s">
        <v>16</v>
      </c>
      <c r="E2559" s="4">
        <f>510.23*(1-Z1%)</f>
        <v>510.23</v>
      </c>
      <c r="F2559" s="2">
        <v>2</v>
      </c>
      <c r="G2559" s="2"/>
    </row>
    <row r="2560" spans="1:26" customHeight="1" ht="35" hidden="true" outlineLevel="4">
      <c r="A2560" s="5" t="s">
        <v>4831</v>
      </c>
      <c r="B2560" s="5"/>
      <c r="C2560" s="5"/>
      <c r="D2560" s="5"/>
      <c r="E2560" s="5"/>
      <c r="F2560" s="5"/>
      <c r="G2560" s="5"/>
    </row>
    <row r="2561" spans="1:26" customHeight="1" ht="18" hidden="true" outlineLevel="4">
      <c r="A2561" s="2" t="s">
        <v>4832</v>
      </c>
      <c r="B2561" s="3" t="s">
        <v>4833</v>
      </c>
      <c r="C2561" s="2"/>
      <c r="D2561" s="2" t="s">
        <v>16</v>
      </c>
      <c r="E2561" s="4">
        <f>407.53*(1-Z1%)</f>
        <v>407.53</v>
      </c>
      <c r="F2561" s="2">
        <v>1</v>
      </c>
      <c r="G2561" s="2"/>
    </row>
    <row r="2562" spans="1:26" customHeight="1" ht="18" hidden="true" outlineLevel="4">
      <c r="A2562" s="2" t="s">
        <v>4834</v>
      </c>
      <c r="B2562" s="3" t="s">
        <v>4835</v>
      </c>
      <c r="C2562" s="2"/>
      <c r="D2562" s="2" t="s">
        <v>16</v>
      </c>
      <c r="E2562" s="4">
        <f>540.79*(1-Z1%)</f>
        <v>540.79</v>
      </c>
      <c r="F2562" s="2">
        <v>1</v>
      </c>
      <c r="G2562" s="2"/>
    </row>
    <row r="2563" spans="1:26" customHeight="1" ht="18" hidden="true" outlineLevel="4">
      <c r="A2563" s="2" t="s">
        <v>4836</v>
      </c>
      <c r="B2563" s="3" t="s">
        <v>4837</v>
      </c>
      <c r="C2563" s="2"/>
      <c r="D2563" s="2" t="s">
        <v>16</v>
      </c>
      <c r="E2563" s="4">
        <f>459.98*(1-Z1%)</f>
        <v>459.98</v>
      </c>
      <c r="F2563" s="2">
        <v>2</v>
      </c>
      <c r="G2563" s="2"/>
    </row>
    <row r="2564" spans="1:26" customHeight="1" ht="35" hidden="true" outlineLevel="3">
      <c r="A2564" s="5" t="s">
        <v>4838</v>
      </c>
      <c r="B2564" s="5"/>
      <c r="C2564" s="5"/>
      <c r="D2564" s="5"/>
      <c r="E2564" s="5"/>
      <c r="F2564" s="5"/>
      <c r="G2564" s="5"/>
    </row>
    <row r="2565" spans="1:26" customHeight="1" ht="18" hidden="true" outlineLevel="3">
      <c r="A2565" s="2" t="s">
        <v>4839</v>
      </c>
      <c r="B2565" s="3" t="s">
        <v>4840</v>
      </c>
      <c r="C2565" s="2"/>
      <c r="D2565" s="2" t="s">
        <v>16</v>
      </c>
      <c r="E2565" s="4">
        <f>1035.00*(1-Z1%)</f>
        <v>1035</v>
      </c>
      <c r="F2565" s="2">
        <v>2</v>
      </c>
      <c r="G2565" s="2"/>
    </row>
    <row r="2566" spans="1:26" customHeight="1" ht="18" hidden="true" outlineLevel="3">
      <c r="A2566" s="2" t="s">
        <v>4841</v>
      </c>
      <c r="B2566" s="3" t="s">
        <v>4842</v>
      </c>
      <c r="C2566" s="2"/>
      <c r="D2566" s="2" t="s">
        <v>16</v>
      </c>
      <c r="E2566" s="4">
        <f>601.92*(1-Z1%)</f>
        <v>601.92</v>
      </c>
      <c r="F2566" s="2">
        <v>4</v>
      </c>
      <c r="G2566" s="2"/>
    </row>
    <row r="2567" spans="1:26" customHeight="1" ht="18" hidden="true" outlineLevel="3">
      <c r="A2567" s="2" t="s">
        <v>4843</v>
      </c>
      <c r="B2567" s="3" t="s">
        <v>4844</v>
      </c>
      <c r="C2567" s="2"/>
      <c r="D2567" s="2" t="s">
        <v>16</v>
      </c>
      <c r="E2567" s="4">
        <f>1164.38*(1-Z1%)</f>
        <v>1164.38</v>
      </c>
      <c r="F2567" s="2">
        <v>3</v>
      </c>
      <c r="G2567" s="2"/>
    </row>
    <row r="2568" spans="1:26" customHeight="1" ht="18" hidden="true" outlineLevel="3">
      <c r="A2568" s="2" t="s">
        <v>4845</v>
      </c>
      <c r="B2568" s="3" t="s">
        <v>4846</v>
      </c>
      <c r="C2568" s="2"/>
      <c r="D2568" s="2" t="s">
        <v>16</v>
      </c>
      <c r="E2568" s="4">
        <f>1164.38*(1-Z1%)</f>
        <v>1164.38</v>
      </c>
      <c r="F2568" s="2">
        <v>4</v>
      </c>
      <c r="G2568" s="2"/>
    </row>
    <row r="2569" spans="1:26" customHeight="1" ht="18" hidden="true" outlineLevel="3">
      <c r="A2569" s="2" t="s">
        <v>4847</v>
      </c>
      <c r="B2569" s="3" t="s">
        <v>4848</v>
      </c>
      <c r="C2569" s="2"/>
      <c r="D2569" s="2" t="s">
        <v>16</v>
      </c>
      <c r="E2569" s="4">
        <f>473.78*(1-Z1%)</f>
        <v>473.78</v>
      </c>
      <c r="F2569" s="2">
        <v>1</v>
      </c>
      <c r="G2569" s="2"/>
    </row>
    <row r="2570" spans="1:26" customHeight="1" ht="18" hidden="true" outlineLevel="3">
      <c r="A2570" s="2" t="s">
        <v>4849</v>
      </c>
      <c r="B2570" s="3" t="s">
        <v>4850</v>
      </c>
      <c r="C2570" s="2"/>
      <c r="D2570" s="2" t="s">
        <v>16</v>
      </c>
      <c r="E2570" s="4">
        <f>1179.15*(1-Z1%)</f>
        <v>1179.15</v>
      </c>
      <c r="F2570" s="2">
        <v>3</v>
      </c>
      <c r="G2570" s="2"/>
    </row>
    <row r="2571" spans="1:26" customHeight="1" ht="18" hidden="true" outlineLevel="3">
      <c r="A2571" s="2" t="s">
        <v>4851</v>
      </c>
      <c r="B2571" s="3" t="s">
        <v>4852</v>
      </c>
      <c r="C2571" s="2"/>
      <c r="D2571" s="2" t="s">
        <v>16</v>
      </c>
      <c r="E2571" s="4">
        <f>755.93*(1-Z1%)</f>
        <v>755.93</v>
      </c>
      <c r="F2571" s="2">
        <v>1</v>
      </c>
      <c r="G2571" s="2"/>
    </row>
    <row r="2572" spans="1:26" customHeight="1" ht="18" hidden="true" outlineLevel="3">
      <c r="A2572" s="2" t="s">
        <v>4853</v>
      </c>
      <c r="B2572" s="3" t="s">
        <v>4854</v>
      </c>
      <c r="C2572" s="2"/>
      <c r="D2572" s="2" t="s">
        <v>16</v>
      </c>
      <c r="E2572" s="4">
        <f>952.26*(1-Z1%)</f>
        <v>952.26</v>
      </c>
      <c r="F2572" s="2">
        <v>2</v>
      </c>
      <c r="G2572" s="2"/>
    </row>
    <row r="2573" spans="1:26" customHeight="1" ht="36" hidden="true" outlineLevel="3">
      <c r="A2573" s="2" t="s">
        <v>4855</v>
      </c>
      <c r="B2573" s="3" t="s">
        <v>4856</v>
      </c>
      <c r="C2573" s="2"/>
      <c r="D2573" s="2" t="s">
        <v>16</v>
      </c>
      <c r="E2573" s="4">
        <f>753.75*(1-Z1%)</f>
        <v>753.75</v>
      </c>
      <c r="F2573" s="2">
        <v>2</v>
      </c>
      <c r="G2573" s="2"/>
    </row>
    <row r="2574" spans="1:26" customHeight="1" ht="36" hidden="true" outlineLevel="3">
      <c r="A2574" s="2" t="s">
        <v>4857</v>
      </c>
      <c r="B2574" s="3" t="s">
        <v>4858</v>
      </c>
      <c r="C2574" s="2"/>
      <c r="D2574" s="2" t="s">
        <v>16</v>
      </c>
      <c r="E2574" s="4">
        <f>1707.75*(1-Z1%)</f>
        <v>1707.75</v>
      </c>
      <c r="F2574" s="2">
        <v>3</v>
      </c>
      <c r="G2574" s="2"/>
    </row>
    <row r="2575" spans="1:26" customHeight="1" ht="36" hidden="true" outlineLevel="3">
      <c r="A2575" s="2" t="s">
        <v>4859</v>
      </c>
      <c r="B2575" s="3" t="s">
        <v>4860</v>
      </c>
      <c r="C2575" s="2"/>
      <c r="D2575" s="2" t="s">
        <v>16</v>
      </c>
      <c r="E2575" s="4">
        <f>1725.75*(1-Z1%)</f>
        <v>1725.75</v>
      </c>
      <c r="F2575" s="2">
        <v>5</v>
      </c>
      <c r="G2575" s="2"/>
    </row>
    <row r="2576" spans="1:26" customHeight="1" ht="18" hidden="true" outlineLevel="3">
      <c r="A2576" s="2" t="s">
        <v>4861</v>
      </c>
      <c r="B2576" s="3" t="s">
        <v>4862</v>
      </c>
      <c r="C2576" s="2"/>
      <c r="D2576" s="2" t="s">
        <v>16</v>
      </c>
      <c r="E2576" s="4">
        <f>2103.75*(1-Z1%)</f>
        <v>2103.75</v>
      </c>
      <c r="F2576" s="2">
        <v>3</v>
      </c>
      <c r="G2576" s="2"/>
    </row>
    <row r="2577" spans="1:26" customHeight="1" ht="18" hidden="true" outlineLevel="3">
      <c r="A2577" s="2" t="s">
        <v>4863</v>
      </c>
      <c r="B2577" s="3" t="s">
        <v>4864</v>
      </c>
      <c r="C2577" s="2"/>
      <c r="D2577" s="2" t="s">
        <v>16</v>
      </c>
      <c r="E2577" s="4">
        <f>1963.13*(1-Z1%)</f>
        <v>1963.13</v>
      </c>
      <c r="F2577" s="2">
        <v>4</v>
      </c>
      <c r="G2577" s="2"/>
    </row>
    <row r="2578" spans="1:26" customHeight="1" ht="18" hidden="true" outlineLevel="3">
      <c r="A2578" s="2" t="s">
        <v>4865</v>
      </c>
      <c r="B2578" s="3" t="s">
        <v>4866</v>
      </c>
      <c r="C2578" s="2"/>
      <c r="D2578" s="2" t="s">
        <v>16</v>
      </c>
      <c r="E2578" s="4">
        <f>1046.25*(1-Z1%)</f>
        <v>1046.25</v>
      </c>
      <c r="F2578" s="2">
        <v>1</v>
      </c>
      <c r="G2578" s="2"/>
    </row>
    <row r="2579" spans="1:26" customHeight="1" ht="18" hidden="true" outlineLevel="3">
      <c r="A2579" s="2" t="s">
        <v>4867</v>
      </c>
      <c r="B2579" s="3" t="s">
        <v>4868</v>
      </c>
      <c r="C2579" s="2"/>
      <c r="D2579" s="2" t="s">
        <v>16</v>
      </c>
      <c r="E2579" s="4">
        <f>2237.63*(1-Z1%)</f>
        <v>2237.63</v>
      </c>
      <c r="F2579" s="2">
        <v>4</v>
      </c>
      <c r="G2579" s="2"/>
    </row>
    <row r="2580" spans="1:26" customHeight="1" ht="18" hidden="true" outlineLevel="3">
      <c r="A2580" s="2" t="s">
        <v>4869</v>
      </c>
      <c r="B2580" s="3" t="s">
        <v>4870</v>
      </c>
      <c r="C2580" s="2"/>
      <c r="D2580" s="2" t="s">
        <v>16</v>
      </c>
      <c r="E2580" s="4">
        <f>1563.75*(1-Z1%)</f>
        <v>1563.75</v>
      </c>
      <c r="F2580" s="2">
        <v>1</v>
      </c>
      <c r="G2580" s="2"/>
    </row>
    <row r="2581" spans="1:26" customHeight="1" ht="35" hidden="true" outlineLevel="2">
      <c r="A2581" s="5" t="s">
        <v>4871</v>
      </c>
      <c r="B2581" s="5"/>
      <c r="C2581" s="5"/>
      <c r="D2581" s="5"/>
      <c r="E2581" s="5"/>
      <c r="F2581" s="5"/>
      <c r="G2581" s="5"/>
    </row>
    <row r="2582" spans="1:26" customHeight="1" ht="35" hidden="true" outlineLevel="3">
      <c r="A2582" s="5" t="s">
        <v>4872</v>
      </c>
      <c r="B2582" s="5"/>
      <c r="C2582" s="5"/>
      <c r="D2582" s="5"/>
      <c r="E2582" s="5"/>
      <c r="F2582" s="5"/>
      <c r="G2582" s="5"/>
    </row>
    <row r="2583" spans="1:26" customHeight="1" ht="36" hidden="true" outlineLevel="3">
      <c r="A2583" s="2" t="s">
        <v>4873</v>
      </c>
      <c r="B2583" s="3" t="s">
        <v>4874</v>
      </c>
      <c r="C2583" s="2"/>
      <c r="D2583" s="2" t="s">
        <v>16</v>
      </c>
      <c r="E2583" s="4">
        <f>1129.28*(1-Z1%)</f>
        <v>1129.28</v>
      </c>
      <c r="F2583" s="2">
        <v>50</v>
      </c>
      <c r="G2583" s="2"/>
    </row>
    <row r="2584" spans="1:26" customHeight="1" ht="36" hidden="true" outlineLevel="3">
      <c r="A2584" s="2" t="s">
        <v>4875</v>
      </c>
      <c r="B2584" s="3" t="s">
        <v>4876</v>
      </c>
      <c r="C2584" s="2"/>
      <c r="D2584" s="2" t="s">
        <v>16</v>
      </c>
      <c r="E2584" s="4">
        <f>721.47*(1-Z1%)</f>
        <v>721.47</v>
      </c>
      <c r="F2584" s="2">
        <v>1</v>
      </c>
      <c r="G2584" s="2"/>
    </row>
    <row r="2585" spans="1:26" customHeight="1" ht="35" hidden="true" outlineLevel="3">
      <c r="A2585" s="5" t="s">
        <v>4877</v>
      </c>
      <c r="B2585" s="5"/>
      <c r="C2585" s="5"/>
      <c r="D2585" s="5"/>
      <c r="E2585" s="5"/>
      <c r="F2585" s="5"/>
      <c r="G2585" s="5"/>
    </row>
    <row r="2586" spans="1:26" customHeight="1" ht="36" hidden="true" outlineLevel="3">
      <c r="A2586" s="2" t="s">
        <v>4878</v>
      </c>
      <c r="B2586" s="3" t="s">
        <v>4879</v>
      </c>
      <c r="C2586" s="2"/>
      <c r="D2586" s="2" t="s">
        <v>16</v>
      </c>
      <c r="E2586" s="4">
        <f>2823.98*(1-Z1%)</f>
        <v>2823.98</v>
      </c>
      <c r="F2586" s="2">
        <v>3</v>
      </c>
      <c r="G2586" s="2"/>
    </row>
    <row r="2587" spans="1:26" customHeight="1" ht="36" hidden="true" outlineLevel="3">
      <c r="A2587" s="2" t="s">
        <v>4880</v>
      </c>
      <c r="B2587" s="3" t="s">
        <v>4881</v>
      </c>
      <c r="C2587" s="2"/>
      <c r="D2587" s="2" t="s">
        <v>16</v>
      </c>
      <c r="E2587" s="4">
        <f>2822.74*(1-Z1%)</f>
        <v>2822.74</v>
      </c>
      <c r="F2587" s="2">
        <v>6</v>
      </c>
      <c r="G2587" s="2"/>
    </row>
    <row r="2588" spans="1:26" customHeight="1" ht="36" hidden="true" outlineLevel="3">
      <c r="A2588" s="2" t="s">
        <v>4882</v>
      </c>
      <c r="B2588" s="3" t="s">
        <v>4883</v>
      </c>
      <c r="C2588" s="2"/>
      <c r="D2588" s="2" t="s">
        <v>16</v>
      </c>
      <c r="E2588" s="4">
        <f>3353.63*(1-Z1%)</f>
        <v>3353.63</v>
      </c>
      <c r="F2588" s="2">
        <v>3</v>
      </c>
      <c r="G2588" s="2"/>
    </row>
    <row r="2589" spans="1:26" customHeight="1" ht="36" hidden="true" outlineLevel="3">
      <c r="A2589" s="2" t="s">
        <v>4884</v>
      </c>
      <c r="B2589" s="3" t="s">
        <v>4885</v>
      </c>
      <c r="C2589" s="2"/>
      <c r="D2589" s="2" t="s">
        <v>16</v>
      </c>
      <c r="E2589" s="4">
        <f>3353.63*(1-Z1%)</f>
        <v>3353.63</v>
      </c>
      <c r="F2589" s="2">
        <v>3</v>
      </c>
      <c r="G2589" s="2"/>
    </row>
    <row r="2590" spans="1:26" customHeight="1" ht="36" hidden="true" outlineLevel="3">
      <c r="A2590" s="2" t="s">
        <v>4886</v>
      </c>
      <c r="B2590" s="3" t="s">
        <v>4887</v>
      </c>
      <c r="C2590" s="2"/>
      <c r="D2590" s="2" t="s">
        <v>16</v>
      </c>
      <c r="E2590" s="4">
        <f>3243.49*(1-Z1%)</f>
        <v>3243.49</v>
      </c>
      <c r="F2590" s="2">
        <v>6</v>
      </c>
      <c r="G2590" s="2"/>
    </row>
    <row r="2591" spans="1:26" customHeight="1" ht="36" hidden="true" outlineLevel="3">
      <c r="A2591" s="2" t="s">
        <v>4888</v>
      </c>
      <c r="B2591" s="3" t="s">
        <v>4889</v>
      </c>
      <c r="C2591" s="2"/>
      <c r="D2591" s="2" t="s">
        <v>16</v>
      </c>
      <c r="E2591" s="4">
        <f>3243.49*(1-Z1%)</f>
        <v>3243.49</v>
      </c>
      <c r="F2591" s="2">
        <v>6</v>
      </c>
      <c r="G2591" s="2"/>
    </row>
    <row r="2592" spans="1:26" customHeight="1" ht="36" hidden="true" outlineLevel="3">
      <c r="A2592" s="2" t="s">
        <v>4890</v>
      </c>
      <c r="B2592" s="3" t="s">
        <v>4891</v>
      </c>
      <c r="C2592" s="2"/>
      <c r="D2592" s="2" t="s">
        <v>16</v>
      </c>
      <c r="E2592" s="4">
        <f>3353.63*(1-Z1%)</f>
        <v>3353.63</v>
      </c>
      <c r="F2592" s="2">
        <v>3</v>
      </c>
      <c r="G2592" s="2"/>
    </row>
    <row r="2593" spans="1:26" customHeight="1" ht="36" hidden="true" outlineLevel="3">
      <c r="A2593" s="2" t="s">
        <v>4892</v>
      </c>
      <c r="B2593" s="3" t="s">
        <v>4893</v>
      </c>
      <c r="C2593" s="2"/>
      <c r="D2593" s="2" t="s">
        <v>16</v>
      </c>
      <c r="E2593" s="4">
        <f>3607.32*(1-Z1%)</f>
        <v>3607.32</v>
      </c>
      <c r="F2593" s="2">
        <v>3</v>
      </c>
      <c r="G2593" s="2"/>
    </row>
    <row r="2594" spans="1:26" customHeight="1" ht="36" hidden="true" outlineLevel="3">
      <c r="A2594" s="2" t="s">
        <v>4894</v>
      </c>
      <c r="B2594" s="3" t="s">
        <v>4895</v>
      </c>
      <c r="C2594" s="2"/>
      <c r="D2594" s="2" t="s">
        <v>16</v>
      </c>
      <c r="E2594" s="4">
        <f>3607.32*(1-Z1%)</f>
        <v>3607.32</v>
      </c>
      <c r="F2594" s="2">
        <v>2</v>
      </c>
      <c r="G2594" s="2"/>
    </row>
    <row r="2595" spans="1:26" customHeight="1" ht="36" hidden="true" outlineLevel="3">
      <c r="A2595" s="2" t="s">
        <v>4896</v>
      </c>
      <c r="B2595" s="3" t="s">
        <v>4897</v>
      </c>
      <c r="C2595" s="2"/>
      <c r="D2595" s="2" t="s">
        <v>16</v>
      </c>
      <c r="E2595" s="4">
        <f>630.99*(1-Z1%)</f>
        <v>630.99</v>
      </c>
      <c r="F2595" s="2">
        <v>3</v>
      </c>
      <c r="G2595" s="2"/>
    </row>
    <row r="2596" spans="1:26" customHeight="1" ht="18" hidden="true" outlineLevel="3">
      <c r="A2596" s="2" t="s">
        <v>4898</v>
      </c>
      <c r="B2596" s="3" t="s">
        <v>4899</v>
      </c>
      <c r="C2596" s="2"/>
      <c r="D2596" s="2" t="s">
        <v>16</v>
      </c>
      <c r="E2596" s="4">
        <f>937.47*(1-Z1%)</f>
        <v>937.47</v>
      </c>
      <c r="F2596" s="2">
        <v>1</v>
      </c>
      <c r="G2596" s="2"/>
    </row>
    <row r="2597" spans="1:26" customHeight="1" ht="36" hidden="true" outlineLevel="3">
      <c r="A2597" s="2" t="s">
        <v>4900</v>
      </c>
      <c r="B2597" s="3" t="s">
        <v>4901</v>
      </c>
      <c r="C2597" s="2"/>
      <c r="D2597" s="2" t="s">
        <v>16</v>
      </c>
      <c r="E2597" s="4">
        <f>1006.07*(1-Z1%)</f>
        <v>1006.07</v>
      </c>
      <c r="F2597" s="2">
        <v>1</v>
      </c>
      <c r="G2597" s="2"/>
    </row>
    <row r="2598" spans="1:26" customHeight="1" ht="35" hidden="true" outlineLevel="3">
      <c r="A2598" s="5" t="s">
        <v>4902</v>
      </c>
      <c r="B2598" s="5"/>
      <c r="C2598" s="5"/>
      <c r="D2598" s="5"/>
      <c r="E2598" s="5"/>
      <c r="F2598" s="5"/>
      <c r="G2598" s="5"/>
    </row>
    <row r="2599" spans="1:26" customHeight="1" ht="18" hidden="true" outlineLevel="3">
      <c r="A2599" s="2" t="s">
        <v>4903</v>
      </c>
      <c r="B2599" s="3" t="s">
        <v>4904</v>
      </c>
      <c r="C2599" s="2"/>
      <c r="D2599" s="2" t="s">
        <v>16</v>
      </c>
      <c r="E2599" s="4">
        <f>228.94*(1-Z1%)</f>
        <v>228.94</v>
      </c>
      <c r="F2599" s="2">
        <v>1</v>
      </c>
      <c r="G2599" s="2"/>
    </row>
    <row r="2600" spans="1:26" customHeight="1" ht="36" hidden="true" outlineLevel="3">
      <c r="A2600" s="2" t="s">
        <v>4905</v>
      </c>
      <c r="B2600" s="3" t="s">
        <v>4906</v>
      </c>
      <c r="C2600" s="2"/>
      <c r="D2600" s="2" t="s">
        <v>16</v>
      </c>
      <c r="E2600" s="4">
        <f>316.80*(1-Z1%)</f>
        <v>316.8</v>
      </c>
      <c r="F2600" s="2">
        <v>2</v>
      </c>
      <c r="G2600" s="2"/>
    </row>
    <row r="2601" spans="1:26" customHeight="1" ht="36" hidden="true" outlineLevel="3">
      <c r="A2601" s="2" t="s">
        <v>4907</v>
      </c>
      <c r="B2601" s="3" t="s">
        <v>4908</v>
      </c>
      <c r="C2601" s="2"/>
      <c r="D2601" s="2" t="s">
        <v>16</v>
      </c>
      <c r="E2601" s="4">
        <f>300.10*(1-Z1%)</f>
        <v>300.1</v>
      </c>
      <c r="F2601" s="2">
        <v>1</v>
      </c>
      <c r="G2601" s="2"/>
    </row>
    <row r="2602" spans="1:26" customHeight="1" ht="18" hidden="true" outlineLevel="3">
      <c r="A2602" s="2" t="s">
        <v>4909</v>
      </c>
      <c r="B2602" s="3" t="s">
        <v>4910</v>
      </c>
      <c r="C2602" s="2"/>
      <c r="D2602" s="2" t="s">
        <v>16</v>
      </c>
      <c r="E2602" s="4">
        <f>352.69*(1-Z1%)</f>
        <v>352.69</v>
      </c>
      <c r="F2602" s="2">
        <v>3</v>
      </c>
      <c r="G2602" s="2"/>
    </row>
    <row r="2603" spans="1:26" customHeight="1" ht="18" hidden="true" outlineLevel="3">
      <c r="A2603" s="2" t="s">
        <v>4911</v>
      </c>
      <c r="B2603" s="3" t="s">
        <v>4912</v>
      </c>
      <c r="C2603" s="2"/>
      <c r="D2603" s="2" t="s">
        <v>16</v>
      </c>
      <c r="E2603" s="4">
        <f>360.24*(1-Z1%)</f>
        <v>360.24</v>
      </c>
      <c r="F2603" s="2">
        <v>2</v>
      </c>
      <c r="G2603" s="2"/>
    </row>
    <row r="2604" spans="1:26" customHeight="1" ht="35" hidden="true" outlineLevel="3">
      <c r="A2604" s="5" t="s">
        <v>4913</v>
      </c>
      <c r="B2604" s="5"/>
      <c r="C2604" s="5"/>
      <c r="D2604" s="5"/>
      <c r="E2604" s="5"/>
      <c r="F2604" s="5"/>
      <c r="G2604" s="5"/>
    </row>
    <row r="2605" spans="1:26" customHeight="1" ht="35" hidden="true" outlineLevel="4">
      <c r="A2605" s="5" t="s">
        <v>4914</v>
      </c>
      <c r="B2605" s="5"/>
      <c r="C2605" s="5"/>
      <c r="D2605" s="5"/>
      <c r="E2605" s="5"/>
      <c r="F2605" s="5"/>
      <c r="G2605" s="5"/>
    </row>
    <row r="2606" spans="1:26" customHeight="1" ht="18" hidden="true" outlineLevel="4">
      <c r="A2606" s="2" t="s">
        <v>4915</v>
      </c>
      <c r="B2606" s="3" t="s">
        <v>4916</v>
      </c>
      <c r="C2606" s="2"/>
      <c r="D2606" s="2" t="s">
        <v>16</v>
      </c>
      <c r="E2606" s="4">
        <f>71.71*(1-Z1%)</f>
        <v>71.71</v>
      </c>
      <c r="F2606" s="2">
        <v>3</v>
      </c>
      <c r="G2606" s="2"/>
    </row>
    <row r="2607" spans="1:26" customHeight="1" ht="18" hidden="true" outlineLevel="4">
      <c r="A2607" s="2" t="s">
        <v>4917</v>
      </c>
      <c r="B2607" s="3" t="s">
        <v>4918</v>
      </c>
      <c r="C2607" s="2"/>
      <c r="D2607" s="2" t="s">
        <v>16</v>
      </c>
      <c r="E2607" s="4">
        <f>76.42*(1-Z1%)</f>
        <v>76.42</v>
      </c>
      <c r="F2607" s="2">
        <v>8</v>
      </c>
      <c r="G2607" s="2"/>
    </row>
    <row r="2608" spans="1:26" customHeight="1" ht="18" hidden="true" outlineLevel="4">
      <c r="A2608" s="2" t="s">
        <v>4919</v>
      </c>
      <c r="B2608" s="3" t="s">
        <v>4920</v>
      </c>
      <c r="C2608" s="2"/>
      <c r="D2608" s="2" t="s">
        <v>16</v>
      </c>
      <c r="E2608" s="4">
        <f>104.63*(1-Z1%)</f>
        <v>104.63</v>
      </c>
      <c r="F2608" s="2">
        <v>9</v>
      </c>
      <c r="G2608" s="2"/>
    </row>
    <row r="2609" spans="1:26" customHeight="1" ht="18" hidden="true" outlineLevel="4">
      <c r="A2609" s="2" t="s">
        <v>4921</v>
      </c>
      <c r="B2609" s="3" t="s">
        <v>4922</v>
      </c>
      <c r="C2609" s="2"/>
      <c r="D2609" s="2" t="s">
        <v>16</v>
      </c>
      <c r="E2609" s="4">
        <f>148.84*(1-Z1%)</f>
        <v>148.84</v>
      </c>
      <c r="F2609" s="2">
        <v>1</v>
      </c>
      <c r="G2609" s="2"/>
    </row>
    <row r="2610" spans="1:26" customHeight="1" ht="18" hidden="true" outlineLevel="4">
      <c r="A2610" s="2" t="s">
        <v>4923</v>
      </c>
      <c r="B2610" s="3" t="s">
        <v>4924</v>
      </c>
      <c r="C2610" s="2"/>
      <c r="D2610" s="2" t="s">
        <v>16</v>
      </c>
      <c r="E2610" s="4">
        <f>141.89*(1-Z1%)</f>
        <v>141.89</v>
      </c>
      <c r="F2610" s="2">
        <v>1</v>
      </c>
      <c r="G2610" s="2"/>
    </row>
    <row r="2611" spans="1:26" customHeight="1" ht="18" hidden="true" outlineLevel="4">
      <c r="A2611" s="2" t="s">
        <v>4925</v>
      </c>
      <c r="B2611" s="3" t="s">
        <v>4926</v>
      </c>
      <c r="C2611" s="2"/>
      <c r="D2611" s="2" t="s">
        <v>16</v>
      </c>
      <c r="E2611" s="4">
        <f>82.30*(1-Z1%)</f>
        <v>82.3</v>
      </c>
      <c r="F2611" s="2">
        <v>3</v>
      </c>
      <c r="G2611" s="2"/>
    </row>
    <row r="2612" spans="1:26" customHeight="1" ht="36" hidden="true" outlineLevel="4">
      <c r="A2612" s="2" t="s">
        <v>4927</v>
      </c>
      <c r="B2612" s="3" t="s">
        <v>4928</v>
      </c>
      <c r="C2612" s="2"/>
      <c r="D2612" s="2" t="s">
        <v>16</v>
      </c>
      <c r="E2612" s="4">
        <f>165.76*(1-Z1%)</f>
        <v>165.76</v>
      </c>
      <c r="F2612" s="2">
        <v>3</v>
      </c>
      <c r="G2612" s="2"/>
    </row>
    <row r="2613" spans="1:26" customHeight="1" ht="36" hidden="true" outlineLevel="4">
      <c r="A2613" s="2" t="s">
        <v>4929</v>
      </c>
      <c r="B2613" s="3" t="s">
        <v>4930</v>
      </c>
      <c r="C2613" s="2"/>
      <c r="D2613" s="2" t="s">
        <v>16</v>
      </c>
      <c r="E2613" s="4">
        <f>72.89*(1-Z1%)</f>
        <v>72.89</v>
      </c>
      <c r="F2613" s="2">
        <v>4</v>
      </c>
      <c r="G2613" s="2"/>
    </row>
    <row r="2614" spans="1:26" customHeight="1" ht="36" hidden="true" outlineLevel="4">
      <c r="A2614" s="2" t="s">
        <v>4931</v>
      </c>
      <c r="B2614" s="3" t="s">
        <v>4932</v>
      </c>
      <c r="C2614" s="2"/>
      <c r="D2614" s="2" t="s">
        <v>16</v>
      </c>
      <c r="E2614" s="4">
        <f>50.55*(1-Z1%)</f>
        <v>50.55</v>
      </c>
      <c r="F2614" s="2">
        <v>9</v>
      </c>
      <c r="G2614" s="2"/>
    </row>
    <row r="2615" spans="1:26" customHeight="1" ht="18" hidden="true" outlineLevel="4">
      <c r="A2615" s="2" t="s">
        <v>4933</v>
      </c>
      <c r="B2615" s="3" t="s">
        <v>4934</v>
      </c>
      <c r="C2615" s="2"/>
      <c r="D2615" s="2" t="s">
        <v>16</v>
      </c>
      <c r="E2615" s="4">
        <f>44.24*(1-Z1%)</f>
        <v>44.24</v>
      </c>
      <c r="F2615" s="2">
        <v>5</v>
      </c>
      <c r="G2615" s="2"/>
    </row>
    <row r="2616" spans="1:26" customHeight="1" ht="36" hidden="true" outlineLevel="4">
      <c r="A2616" s="2" t="s">
        <v>4935</v>
      </c>
      <c r="B2616" s="3" t="s">
        <v>4936</v>
      </c>
      <c r="C2616" s="2"/>
      <c r="D2616" s="2" t="s">
        <v>16</v>
      </c>
      <c r="E2616" s="4">
        <f>43.50*(1-Z1%)</f>
        <v>43.5</v>
      </c>
      <c r="F2616" s="2">
        <v>3</v>
      </c>
      <c r="G2616" s="2"/>
    </row>
    <row r="2617" spans="1:26" customHeight="1" ht="18" hidden="true" outlineLevel="4">
      <c r="A2617" s="2" t="s">
        <v>4937</v>
      </c>
      <c r="B2617" s="3" t="s">
        <v>4938</v>
      </c>
      <c r="C2617" s="2"/>
      <c r="D2617" s="2" t="s">
        <v>16</v>
      </c>
      <c r="E2617" s="4">
        <f>67.01*(1-Z1%)</f>
        <v>67.01</v>
      </c>
      <c r="F2617" s="2">
        <v>2</v>
      </c>
      <c r="G2617" s="2"/>
    </row>
    <row r="2618" spans="1:26" customHeight="1" ht="18" hidden="true" outlineLevel="4">
      <c r="A2618" s="2" t="s">
        <v>4939</v>
      </c>
      <c r="B2618" s="3" t="s">
        <v>4940</v>
      </c>
      <c r="C2618" s="2"/>
      <c r="D2618" s="2" t="s">
        <v>16</v>
      </c>
      <c r="E2618" s="4">
        <f>62.31*(1-Z1%)</f>
        <v>62.31</v>
      </c>
      <c r="F2618" s="2">
        <v>3</v>
      </c>
      <c r="G2618" s="2"/>
    </row>
    <row r="2619" spans="1:26" customHeight="1" ht="36" hidden="true" outlineLevel="4">
      <c r="A2619" s="2" t="s">
        <v>4941</v>
      </c>
      <c r="B2619" s="3" t="s">
        <v>4942</v>
      </c>
      <c r="C2619" s="2"/>
      <c r="D2619" s="2" t="s">
        <v>16</v>
      </c>
      <c r="E2619" s="4">
        <f>55.25*(1-Z1%)</f>
        <v>55.25</v>
      </c>
      <c r="F2619" s="2">
        <v>9</v>
      </c>
      <c r="G2619" s="2"/>
    </row>
    <row r="2620" spans="1:26" customHeight="1" ht="36" hidden="true" outlineLevel="4">
      <c r="A2620" s="2" t="s">
        <v>4943</v>
      </c>
      <c r="B2620" s="3" t="s">
        <v>4944</v>
      </c>
      <c r="C2620" s="2"/>
      <c r="D2620" s="2" t="s">
        <v>16</v>
      </c>
      <c r="E2620" s="4">
        <f>103.58*(1-Z1%)</f>
        <v>103.58</v>
      </c>
      <c r="F2620" s="2">
        <v>2</v>
      </c>
      <c r="G2620" s="2"/>
    </row>
    <row r="2621" spans="1:26" customHeight="1" ht="36" hidden="true" outlineLevel="4">
      <c r="A2621" s="2" t="s">
        <v>4945</v>
      </c>
      <c r="B2621" s="3" t="s">
        <v>4946</v>
      </c>
      <c r="C2621" s="2"/>
      <c r="D2621" s="2" t="s">
        <v>16</v>
      </c>
      <c r="E2621" s="4">
        <f>109.15*(1-Z1%)</f>
        <v>109.15</v>
      </c>
      <c r="F2621" s="2">
        <v>3</v>
      </c>
      <c r="G2621" s="2"/>
    </row>
    <row r="2622" spans="1:26" customHeight="1" ht="18" hidden="true" outlineLevel="4">
      <c r="A2622" s="2" t="s">
        <v>4947</v>
      </c>
      <c r="B2622" s="3" t="s">
        <v>4948</v>
      </c>
      <c r="C2622" s="2"/>
      <c r="D2622" s="2" t="s">
        <v>16</v>
      </c>
      <c r="E2622" s="4">
        <f>44.68*(1-Z1%)</f>
        <v>44.68</v>
      </c>
      <c r="F2622" s="2">
        <v>7</v>
      </c>
      <c r="G2622" s="2"/>
    </row>
    <row r="2623" spans="1:26" customHeight="1" ht="36" hidden="true" outlineLevel="4">
      <c r="A2623" s="2" t="s">
        <v>4949</v>
      </c>
      <c r="B2623" s="3" t="s">
        <v>4950</v>
      </c>
      <c r="C2623" s="2"/>
      <c r="D2623" s="2" t="s">
        <v>16</v>
      </c>
      <c r="E2623" s="4">
        <f>44.68*(1-Z1%)</f>
        <v>44.68</v>
      </c>
      <c r="F2623" s="2">
        <v>5</v>
      </c>
      <c r="G2623" s="2"/>
    </row>
    <row r="2624" spans="1:26" customHeight="1" ht="35" hidden="true" outlineLevel="4">
      <c r="A2624" s="5" t="s">
        <v>4951</v>
      </c>
      <c r="B2624" s="5"/>
      <c r="C2624" s="5"/>
      <c r="D2624" s="5"/>
      <c r="E2624" s="5"/>
      <c r="F2624" s="5"/>
      <c r="G2624" s="5"/>
    </row>
    <row r="2625" spans="1:26" customHeight="1" ht="36" hidden="true" outlineLevel="4">
      <c r="A2625" s="2" t="s">
        <v>4952</v>
      </c>
      <c r="B2625" s="3" t="s">
        <v>4953</v>
      </c>
      <c r="C2625" s="2"/>
      <c r="D2625" s="2" t="s">
        <v>16</v>
      </c>
      <c r="E2625" s="4">
        <f>284.63*(1-Z1%)</f>
        <v>284.63</v>
      </c>
      <c r="F2625" s="2">
        <v>1</v>
      </c>
      <c r="G2625" s="2"/>
    </row>
    <row r="2626" spans="1:26" customHeight="1" ht="18" hidden="true" outlineLevel="4">
      <c r="A2626" s="2" t="s">
        <v>4954</v>
      </c>
      <c r="B2626" s="3" t="s">
        <v>4955</v>
      </c>
      <c r="C2626" s="2"/>
      <c r="D2626" s="2" t="s">
        <v>16</v>
      </c>
      <c r="E2626" s="4">
        <f>452.07*(1-Z1%)</f>
        <v>452.07</v>
      </c>
      <c r="F2626" s="2">
        <v>1</v>
      </c>
      <c r="G2626" s="2"/>
    </row>
    <row r="2627" spans="1:26" customHeight="1" ht="36" hidden="true" outlineLevel="4">
      <c r="A2627" s="2" t="s">
        <v>4956</v>
      </c>
      <c r="B2627" s="3" t="s">
        <v>4957</v>
      </c>
      <c r="C2627" s="2"/>
      <c r="D2627" s="2" t="s">
        <v>16</v>
      </c>
      <c r="E2627" s="4">
        <f>96.53*(1-Z1%)</f>
        <v>96.53</v>
      </c>
      <c r="F2627" s="2">
        <v>14</v>
      </c>
      <c r="G2627" s="2"/>
    </row>
    <row r="2628" spans="1:26" customHeight="1" ht="36" hidden="true" outlineLevel="4">
      <c r="A2628" s="2" t="s">
        <v>4958</v>
      </c>
      <c r="B2628" s="3" t="s">
        <v>4959</v>
      </c>
      <c r="C2628" s="2"/>
      <c r="D2628" s="2" t="s">
        <v>16</v>
      </c>
      <c r="E2628" s="4">
        <f>80.44*(1-Z1%)</f>
        <v>80.44</v>
      </c>
      <c r="F2628" s="2">
        <v>21</v>
      </c>
      <c r="G2628" s="2"/>
    </row>
    <row r="2629" spans="1:26" customHeight="1" ht="36" hidden="true" outlineLevel="4">
      <c r="A2629" s="2" t="s">
        <v>4960</v>
      </c>
      <c r="B2629" s="3" t="s">
        <v>4961</v>
      </c>
      <c r="C2629" s="2"/>
      <c r="D2629" s="2" t="s">
        <v>16</v>
      </c>
      <c r="E2629" s="4">
        <f>86.63*(1-Z1%)</f>
        <v>86.63</v>
      </c>
      <c r="F2629" s="2">
        <v>14</v>
      </c>
      <c r="G2629" s="2"/>
    </row>
    <row r="2630" spans="1:26" customHeight="1" ht="18" hidden="true" outlineLevel="4">
      <c r="A2630" s="2" t="s">
        <v>4962</v>
      </c>
      <c r="B2630" s="3" t="s">
        <v>4963</v>
      </c>
      <c r="C2630" s="2"/>
      <c r="D2630" s="2" t="s">
        <v>16</v>
      </c>
      <c r="E2630" s="4">
        <f>484.20*(1-Z1%)</f>
        <v>484.2</v>
      </c>
      <c r="F2630" s="2">
        <v>9</v>
      </c>
      <c r="G2630" s="2"/>
    </row>
    <row r="2631" spans="1:26" customHeight="1" ht="36" hidden="true" outlineLevel="4">
      <c r="A2631" s="2" t="s">
        <v>4964</v>
      </c>
      <c r="B2631" s="3" t="s">
        <v>4965</v>
      </c>
      <c r="C2631" s="2"/>
      <c r="D2631" s="2" t="s">
        <v>16</v>
      </c>
      <c r="E2631" s="4">
        <f>210.38*(1-Z1%)</f>
        <v>210.38</v>
      </c>
      <c r="F2631" s="2">
        <v>9</v>
      </c>
      <c r="G2631" s="2"/>
    </row>
    <row r="2632" spans="1:26" customHeight="1" ht="18" hidden="true" outlineLevel="4">
      <c r="A2632" s="2" t="s">
        <v>4966</v>
      </c>
      <c r="B2632" s="3" t="s">
        <v>4967</v>
      </c>
      <c r="C2632" s="2"/>
      <c r="D2632" s="2" t="s">
        <v>16</v>
      </c>
      <c r="E2632" s="4">
        <f>374.08*(1-Z1%)</f>
        <v>374.08</v>
      </c>
      <c r="F2632" s="2">
        <v>1</v>
      </c>
      <c r="G2632" s="2"/>
    </row>
    <row r="2633" spans="1:26" customHeight="1" ht="36" hidden="true" outlineLevel="4">
      <c r="A2633" s="2" t="s">
        <v>4968</v>
      </c>
      <c r="B2633" s="3" t="s">
        <v>4969</v>
      </c>
      <c r="C2633" s="2"/>
      <c r="D2633" s="2" t="s">
        <v>16</v>
      </c>
      <c r="E2633" s="4">
        <f>334.87*(1-Z1%)</f>
        <v>334.87</v>
      </c>
      <c r="F2633" s="2">
        <v>3</v>
      </c>
      <c r="G2633" s="2"/>
    </row>
    <row r="2634" spans="1:26" customHeight="1" ht="18" hidden="true" outlineLevel="4">
      <c r="A2634" s="2" t="s">
        <v>4970</v>
      </c>
      <c r="B2634" s="3" t="s">
        <v>4971</v>
      </c>
      <c r="C2634" s="2"/>
      <c r="D2634" s="2" t="s">
        <v>16</v>
      </c>
      <c r="E2634" s="4">
        <f>619.92*(1-Z1%)</f>
        <v>619.92</v>
      </c>
      <c r="F2634" s="2">
        <v>2</v>
      </c>
      <c r="G2634" s="2"/>
    </row>
    <row r="2635" spans="1:26" customHeight="1" ht="18" hidden="true" outlineLevel="4">
      <c r="A2635" s="2" t="s">
        <v>4972</v>
      </c>
      <c r="B2635" s="3" t="s">
        <v>4973</v>
      </c>
      <c r="C2635" s="2"/>
      <c r="D2635" s="2" t="s">
        <v>16</v>
      </c>
      <c r="E2635" s="4">
        <f>387.31*(1-Z1%)</f>
        <v>387.31</v>
      </c>
      <c r="F2635" s="2">
        <v>1</v>
      </c>
      <c r="G2635" s="2"/>
    </row>
    <row r="2636" spans="1:26" customHeight="1" ht="18" hidden="true" outlineLevel="4">
      <c r="A2636" s="2" t="s">
        <v>4974</v>
      </c>
      <c r="B2636" s="3" t="s">
        <v>4975</v>
      </c>
      <c r="C2636" s="2"/>
      <c r="D2636" s="2" t="s">
        <v>16</v>
      </c>
      <c r="E2636" s="4">
        <f>229.73*(1-Z1%)</f>
        <v>229.73</v>
      </c>
      <c r="F2636" s="2">
        <v>2</v>
      </c>
      <c r="G2636" s="2"/>
    </row>
    <row r="2637" spans="1:26" customHeight="1" ht="18" hidden="true" outlineLevel="4">
      <c r="A2637" s="2" t="s">
        <v>4976</v>
      </c>
      <c r="B2637" s="3" t="s">
        <v>4977</v>
      </c>
      <c r="C2637" s="2"/>
      <c r="D2637" s="2" t="s">
        <v>16</v>
      </c>
      <c r="E2637" s="4">
        <f>323.29*(1-Z1%)</f>
        <v>323.29</v>
      </c>
      <c r="F2637" s="2">
        <v>2</v>
      </c>
      <c r="G2637" s="2"/>
    </row>
    <row r="2638" spans="1:26" customHeight="1" ht="18" hidden="true" outlineLevel="4">
      <c r="A2638" s="2" t="s">
        <v>4978</v>
      </c>
      <c r="B2638" s="3" t="s">
        <v>4979</v>
      </c>
      <c r="C2638" s="2"/>
      <c r="D2638" s="2" t="s">
        <v>16</v>
      </c>
      <c r="E2638" s="4">
        <f>376.20*(1-Z1%)</f>
        <v>376.2</v>
      </c>
      <c r="F2638" s="2">
        <v>3</v>
      </c>
      <c r="G2638" s="2"/>
    </row>
    <row r="2639" spans="1:26" customHeight="1" ht="36" hidden="true" outlineLevel="4">
      <c r="A2639" s="2" t="s">
        <v>4980</v>
      </c>
      <c r="B2639" s="3" t="s">
        <v>4981</v>
      </c>
      <c r="C2639" s="2"/>
      <c r="D2639" s="2" t="s">
        <v>16</v>
      </c>
      <c r="E2639" s="4">
        <f>452.62*(1-Z1%)</f>
        <v>452.62</v>
      </c>
      <c r="F2639" s="2">
        <v>4</v>
      </c>
      <c r="G2639" s="2"/>
    </row>
    <row r="2640" spans="1:26" customHeight="1" ht="35" hidden="true" outlineLevel="3">
      <c r="A2640" s="5" t="s">
        <v>4982</v>
      </c>
      <c r="B2640" s="5"/>
      <c r="C2640" s="5"/>
      <c r="D2640" s="5"/>
      <c r="E2640" s="5"/>
      <c r="F2640" s="5"/>
      <c r="G2640" s="5"/>
    </row>
    <row r="2641" spans="1:26" customHeight="1" ht="18" hidden="true" outlineLevel="3">
      <c r="A2641" s="2" t="s">
        <v>4983</v>
      </c>
      <c r="B2641" s="3" t="s">
        <v>4984</v>
      </c>
      <c r="C2641" s="2"/>
      <c r="D2641" s="2" t="s">
        <v>16</v>
      </c>
      <c r="E2641" s="4">
        <f>14.63*(1-Z1%)</f>
        <v>14.63</v>
      </c>
      <c r="F2641" s="2">
        <v>5</v>
      </c>
      <c r="G2641" s="2"/>
    </row>
    <row r="2642" spans="1:26" customHeight="1" ht="35" hidden="true" outlineLevel="2">
      <c r="A2642" s="5" t="s">
        <v>4985</v>
      </c>
      <c r="B2642" s="5"/>
      <c r="C2642" s="5"/>
      <c r="D2642" s="5"/>
      <c r="E2642" s="5"/>
      <c r="F2642" s="5"/>
      <c r="G2642" s="5"/>
    </row>
    <row r="2643" spans="1:26" customHeight="1" ht="35" hidden="true" outlineLevel="3">
      <c r="A2643" s="5" t="s">
        <v>4986</v>
      </c>
      <c r="B2643" s="5"/>
      <c r="C2643" s="5"/>
      <c r="D2643" s="5"/>
      <c r="E2643" s="5"/>
      <c r="F2643" s="5"/>
      <c r="G2643" s="5"/>
    </row>
    <row r="2644" spans="1:26" customHeight="1" ht="35" hidden="true" outlineLevel="4">
      <c r="A2644" s="5" t="s">
        <v>4987</v>
      </c>
      <c r="B2644" s="5"/>
      <c r="C2644" s="5"/>
      <c r="D2644" s="5"/>
      <c r="E2644" s="5"/>
      <c r="F2644" s="5"/>
      <c r="G2644" s="5"/>
    </row>
    <row r="2645" spans="1:26" customHeight="1" ht="36" hidden="true" outlineLevel="4">
      <c r="A2645" s="2" t="s">
        <v>4988</v>
      </c>
      <c r="B2645" s="3" t="s">
        <v>4989</v>
      </c>
      <c r="C2645" s="2"/>
      <c r="D2645" s="2" t="s">
        <v>16</v>
      </c>
      <c r="E2645" s="4">
        <f>335.05*(1-Z1%)</f>
        <v>335.05</v>
      </c>
      <c r="F2645" s="2">
        <v>3</v>
      </c>
      <c r="G2645" s="2"/>
    </row>
    <row r="2646" spans="1:26" customHeight="1" ht="36" hidden="true" outlineLevel="4">
      <c r="A2646" s="2" t="s">
        <v>4990</v>
      </c>
      <c r="B2646" s="3" t="s">
        <v>4991</v>
      </c>
      <c r="C2646" s="2"/>
      <c r="D2646" s="2" t="s">
        <v>16</v>
      </c>
      <c r="E2646" s="4">
        <f>335.05*(1-Z1%)</f>
        <v>335.05</v>
      </c>
      <c r="F2646" s="2">
        <v>3</v>
      </c>
      <c r="G2646" s="2"/>
    </row>
    <row r="2647" spans="1:26" customHeight="1" ht="18" hidden="true" outlineLevel="4">
      <c r="A2647" s="2" t="s">
        <v>4992</v>
      </c>
      <c r="B2647" s="3" t="s">
        <v>4993</v>
      </c>
      <c r="C2647" s="2"/>
      <c r="D2647" s="2" t="s">
        <v>16</v>
      </c>
      <c r="E2647" s="4">
        <f>310.82*(1-Z1%)</f>
        <v>310.82</v>
      </c>
      <c r="F2647" s="2">
        <v>3</v>
      </c>
      <c r="G2647" s="2"/>
    </row>
    <row r="2648" spans="1:26" customHeight="1" ht="18" hidden="true" outlineLevel="4">
      <c r="A2648" s="2" t="s">
        <v>4994</v>
      </c>
      <c r="B2648" s="3" t="s">
        <v>4995</v>
      </c>
      <c r="C2648" s="2"/>
      <c r="D2648" s="2" t="s">
        <v>16</v>
      </c>
      <c r="E2648" s="4">
        <f>438.67*(1-Z1%)</f>
        <v>438.67</v>
      </c>
      <c r="F2648" s="2">
        <v>3</v>
      </c>
      <c r="G2648" s="2"/>
    </row>
    <row r="2649" spans="1:26" customHeight="1" ht="18" hidden="true" outlineLevel="4">
      <c r="A2649" s="2" t="s">
        <v>4996</v>
      </c>
      <c r="B2649" s="3" t="s">
        <v>4997</v>
      </c>
      <c r="C2649" s="2"/>
      <c r="D2649" s="2" t="s">
        <v>16</v>
      </c>
      <c r="E2649" s="4">
        <f>335.39*(1-Z1%)</f>
        <v>335.39</v>
      </c>
      <c r="F2649" s="2">
        <v>4</v>
      </c>
      <c r="G2649" s="2"/>
    </row>
    <row r="2650" spans="1:26" customHeight="1" ht="18" hidden="true" outlineLevel="4">
      <c r="A2650" s="2" t="s">
        <v>4998</v>
      </c>
      <c r="B2650" s="3" t="s">
        <v>4999</v>
      </c>
      <c r="C2650" s="2"/>
      <c r="D2650" s="2" t="s">
        <v>16</v>
      </c>
      <c r="E2650" s="4">
        <f>191.63*(1-Z1%)</f>
        <v>191.63</v>
      </c>
      <c r="F2650" s="2">
        <v>2</v>
      </c>
      <c r="G2650" s="2"/>
    </row>
    <row r="2651" spans="1:26" customHeight="1" ht="18" hidden="true" outlineLevel="4">
      <c r="A2651" s="2" t="s">
        <v>5000</v>
      </c>
      <c r="B2651" s="3" t="s">
        <v>5001</v>
      </c>
      <c r="C2651" s="2"/>
      <c r="D2651" s="2" t="s">
        <v>16</v>
      </c>
      <c r="E2651" s="4">
        <f>224.87*(1-Z1%)</f>
        <v>224.87</v>
      </c>
      <c r="F2651" s="2">
        <v>5</v>
      </c>
      <c r="G2651" s="2"/>
    </row>
    <row r="2652" spans="1:26" customHeight="1" ht="18" hidden="true" outlineLevel="4">
      <c r="A2652" s="2" t="s">
        <v>5002</v>
      </c>
      <c r="B2652" s="3" t="s">
        <v>5003</v>
      </c>
      <c r="C2652" s="2"/>
      <c r="D2652" s="2" t="s">
        <v>16</v>
      </c>
      <c r="E2652" s="4">
        <f>172.82*(1-Z1%)</f>
        <v>172.82</v>
      </c>
      <c r="F2652" s="2">
        <v>1</v>
      </c>
      <c r="G2652" s="2"/>
    </row>
    <row r="2653" spans="1:26" customHeight="1" ht="18" hidden="true" outlineLevel="4">
      <c r="A2653" s="2" t="s">
        <v>5004</v>
      </c>
      <c r="B2653" s="3" t="s">
        <v>5005</v>
      </c>
      <c r="C2653" s="2"/>
      <c r="D2653" s="2" t="s">
        <v>16</v>
      </c>
      <c r="E2653" s="4">
        <f>217.49*(1-Z1%)</f>
        <v>217.49</v>
      </c>
      <c r="F2653" s="2">
        <v>1</v>
      </c>
      <c r="G2653" s="2"/>
    </row>
    <row r="2654" spans="1:26" customHeight="1" ht="35" hidden="true" outlineLevel="4">
      <c r="A2654" s="5" t="s">
        <v>5006</v>
      </c>
      <c r="B2654" s="5"/>
      <c r="C2654" s="5"/>
      <c r="D2654" s="5"/>
      <c r="E2654" s="5"/>
      <c r="F2654" s="5"/>
      <c r="G2654" s="5"/>
    </row>
    <row r="2655" spans="1:26" customHeight="1" ht="18" hidden="true" outlineLevel="4">
      <c r="A2655" s="2" t="s">
        <v>5007</v>
      </c>
      <c r="B2655" s="3" t="s">
        <v>5008</v>
      </c>
      <c r="C2655" s="2"/>
      <c r="D2655" s="2" t="s">
        <v>16</v>
      </c>
      <c r="E2655" s="4">
        <f>263.34*(1-Z1%)</f>
        <v>263.34</v>
      </c>
      <c r="F2655" s="2">
        <v>2</v>
      </c>
      <c r="G2655" s="2"/>
    </row>
    <row r="2656" spans="1:26" customHeight="1" ht="18" hidden="true" outlineLevel="4">
      <c r="A2656" s="2" t="s">
        <v>5009</v>
      </c>
      <c r="B2656" s="3" t="s">
        <v>5010</v>
      </c>
      <c r="C2656" s="2"/>
      <c r="D2656" s="2" t="s">
        <v>16</v>
      </c>
      <c r="E2656" s="4">
        <f>556.07*(1-Z1%)</f>
        <v>556.07</v>
      </c>
      <c r="F2656" s="2">
        <v>1</v>
      </c>
      <c r="G2656" s="2"/>
    </row>
    <row r="2657" spans="1:26" customHeight="1" ht="36" hidden="true" outlineLevel="4">
      <c r="A2657" s="2" t="s">
        <v>5011</v>
      </c>
      <c r="B2657" s="3" t="s">
        <v>5012</v>
      </c>
      <c r="C2657" s="2"/>
      <c r="D2657" s="2" t="s">
        <v>16</v>
      </c>
      <c r="E2657" s="4">
        <f>656.38*(1-Z1%)</f>
        <v>656.38</v>
      </c>
      <c r="F2657" s="2">
        <v>3</v>
      </c>
      <c r="G2657" s="2"/>
    </row>
    <row r="2658" spans="1:26" customHeight="1" ht="36" hidden="true" outlineLevel="4">
      <c r="A2658" s="2" t="s">
        <v>5013</v>
      </c>
      <c r="B2658" s="3" t="s">
        <v>5014</v>
      </c>
      <c r="C2658" s="2"/>
      <c r="D2658" s="2" t="s">
        <v>16</v>
      </c>
      <c r="E2658" s="4">
        <f>674.24*(1-Z1%)</f>
        <v>674.24</v>
      </c>
      <c r="F2658" s="2">
        <v>3</v>
      </c>
      <c r="G2658" s="2"/>
    </row>
    <row r="2659" spans="1:26" customHeight="1" ht="36" hidden="true" outlineLevel="4">
      <c r="A2659" s="2" t="s">
        <v>5015</v>
      </c>
      <c r="B2659" s="3" t="s">
        <v>5016</v>
      </c>
      <c r="C2659" s="2"/>
      <c r="D2659" s="2" t="s">
        <v>16</v>
      </c>
      <c r="E2659" s="4">
        <f>674.24*(1-Z1%)</f>
        <v>674.24</v>
      </c>
      <c r="F2659" s="2">
        <v>3</v>
      </c>
      <c r="G2659" s="2"/>
    </row>
    <row r="2660" spans="1:26" customHeight="1" ht="36" hidden="true" outlineLevel="4">
      <c r="A2660" s="2" t="s">
        <v>5017</v>
      </c>
      <c r="B2660" s="3" t="s">
        <v>5018</v>
      </c>
      <c r="C2660" s="2"/>
      <c r="D2660" s="2" t="s">
        <v>16</v>
      </c>
      <c r="E2660" s="4">
        <f>674.24*(1-Z1%)</f>
        <v>674.24</v>
      </c>
      <c r="F2660" s="2">
        <v>2</v>
      </c>
      <c r="G2660" s="2"/>
    </row>
    <row r="2661" spans="1:26" customHeight="1" ht="36" hidden="true" outlineLevel="4">
      <c r="A2661" s="2" t="s">
        <v>5019</v>
      </c>
      <c r="B2661" s="3" t="s">
        <v>5020</v>
      </c>
      <c r="C2661" s="2"/>
      <c r="D2661" s="2" t="s">
        <v>16</v>
      </c>
      <c r="E2661" s="4">
        <f>640.94*(1-Z1%)</f>
        <v>640.94</v>
      </c>
      <c r="F2661" s="2">
        <v>3</v>
      </c>
      <c r="G2661" s="2"/>
    </row>
    <row r="2662" spans="1:26" customHeight="1" ht="35" hidden="true" outlineLevel="4">
      <c r="A2662" s="5" t="s">
        <v>5021</v>
      </c>
      <c r="B2662" s="5"/>
      <c r="C2662" s="5"/>
      <c r="D2662" s="5"/>
      <c r="E2662" s="5"/>
      <c r="F2662" s="5"/>
      <c r="G2662" s="5"/>
    </row>
    <row r="2663" spans="1:26" customHeight="1" ht="18" hidden="true" outlineLevel="4">
      <c r="A2663" s="2" t="s">
        <v>5022</v>
      </c>
      <c r="B2663" s="3" t="s">
        <v>5023</v>
      </c>
      <c r="C2663" s="2"/>
      <c r="D2663" s="2" t="s">
        <v>16</v>
      </c>
      <c r="E2663" s="4">
        <f>770.24*(1-Z1%)</f>
        <v>770.24</v>
      </c>
      <c r="F2663" s="2">
        <v>2</v>
      </c>
      <c r="G2663" s="2"/>
    </row>
    <row r="2664" spans="1:26" customHeight="1" ht="18" hidden="true" outlineLevel="4">
      <c r="A2664" s="2" t="s">
        <v>5024</v>
      </c>
      <c r="B2664" s="3" t="s">
        <v>5025</v>
      </c>
      <c r="C2664" s="2"/>
      <c r="D2664" s="2" t="s">
        <v>16</v>
      </c>
      <c r="E2664" s="4">
        <f>770.24*(1-Z1%)</f>
        <v>770.24</v>
      </c>
      <c r="F2664" s="2">
        <v>2</v>
      </c>
      <c r="G2664" s="2"/>
    </row>
    <row r="2665" spans="1:26" customHeight="1" ht="36" hidden="true" outlineLevel="4">
      <c r="A2665" s="2" t="s">
        <v>5026</v>
      </c>
      <c r="B2665" s="3" t="s">
        <v>5027</v>
      </c>
      <c r="C2665" s="2"/>
      <c r="D2665" s="2" t="s">
        <v>16</v>
      </c>
      <c r="E2665" s="4">
        <f>813.36*(1-Z1%)</f>
        <v>813.36</v>
      </c>
      <c r="F2665" s="2">
        <v>2</v>
      </c>
      <c r="G2665" s="2"/>
    </row>
    <row r="2666" spans="1:26" customHeight="1" ht="36" hidden="true" outlineLevel="4">
      <c r="A2666" s="2" t="s">
        <v>5028</v>
      </c>
      <c r="B2666" s="3" t="s">
        <v>5029</v>
      </c>
      <c r="C2666" s="2"/>
      <c r="D2666" s="2" t="s">
        <v>16</v>
      </c>
      <c r="E2666" s="4">
        <f>484.49*(1-Z1%)</f>
        <v>484.49</v>
      </c>
      <c r="F2666" s="2">
        <v>3</v>
      </c>
      <c r="G2666" s="2"/>
    </row>
    <row r="2667" spans="1:26" customHeight="1" ht="36" hidden="true" outlineLevel="4">
      <c r="A2667" s="2" t="s">
        <v>5030</v>
      </c>
      <c r="B2667" s="3" t="s">
        <v>5031</v>
      </c>
      <c r="C2667" s="2"/>
      <c r="D2667" s="2" t="s">
        <v>16</v>
      </c>
      <c r="E2667" s="4">
        <f>484.49*(1-Z1%)</f>
        <v>484.49</v>
      </c>
      <c r="F2667" s="2">
        <v>3</v>
      </c>
      <c r="G2667" s="2"/>
    </row>
    <row r="2668" spans="1:26" customHeight="1" ht="36" hidden="true" outlineLevel="4">
      <c r="A2668" s="2" t="s">
        <v>5032</v>
      </c>
      <c r="B2668" s="3" t="s">
        <v>5033</v>
      </c>
      <c r="C2668" s="2"/>
      <c r="D2668" s="2" t="s">
        <v>16</v>
      </c>
      <c r="E2668" s="4">
        <f>484.49*(1-Z1%)</f>
        <v>484.49</v>
      </c>
      <c r="F2668" s="2">
        <v>3</v>
      </c>
      <c r="G2668" s="2"/>
    </row>
    <row r="2669" spans="1:26" customHeight="1" ht="36" hidden="true" outlineLevel="4">
      <c r="A2669" s="2" t="s">
        <v>5034</v>
      </c>
      <c r="B2669" s="3" t="s">
        <v>5035</v>
      </c>
      <c r="C2669" s="2"/>
      <c r="D2669" s="2" t="s">
        <v>16</v>
      </c>
      <c r="E2669" s="4">
        <f>499.64*(1-Z1%)</f>
        <v>499.64</v>
      </c>
      <c r="F2669" s="2">
        <v>2</v>
      </c>
      <c r="G2669" s="2"/>
    </row>
    <row r="2670" spans="1:26" customHeight="1" ht="35" hidden="true" outlineLevel="4">
      <c r="A2670" s="5" t="s">
        <v>5036</v>
      </c>
      <c r="B2670" s="5"/>
      <c r="C2670" s="5"/>
      <c r="D2670" s="5"/>
      <c r="E2670" s="5"/>
      <c r="F2670" s="5"/>
      <c r="G2670" s="5"/>
    </row>
    <row r="2671" spans="1:26" customHeight="1" ht="18" hidden="true" outlineLevel="4">
      <c r="A2671" s="2" t="s">
        <v>5037</v>
      </c>
      <c r="B2671" s="3" t="s">
        <v>5038</v>
      </c>
      <c r="C2671" s="2"/>
      <c r="D2671" s="2" t="s">
        <v>16</v>
      </c>
      <c r="E2671" s="4">
        <f>290.70*(1-Z1%)</f>
        <v>290.7</v>
      </c>
      <c r="F2671" s="2">
        <v>5</v>
      </c>
      <c r="G2671" s="2"/>
    </row>
    <row r="2672" spans="1:26" customHeight="1" ht="18" hidden="true" outlineLevel="4">
      <c r="A2672" s="2" t="s">
        <v>5039</v>
      </c>
      <c r="B2672" s="3" t="s">
        <v>5040</v>
      </c>
      <c r="C2672" s="2"/>
      <c r="D2672" s="2" t="s">
        <v>16</v>
      </c>
      <c r="E2672" s="4">
        <f>401.86*(1-Z1%)</f>
        <v>401.86</v>
      </c>
      <c r="F2672" s="2">
        <v>2</v>
      </c>
      <c r="G2672" s="2"/>
    </row>
    <row r="2673" spans="1:26" customHeight="1" ht="18" hidden="true" outlineLevel="4">
      <c r="A2673" s="2" t="s">
        <v>5041</v>
      </c>
      <c r="B2673" s="3" t="s">
        <v>5042</v>
      </c>
      <c r="C2673" s="2"/>
      <c r="D2673" s="2" t="s">
        <v>16</v>
      </c>
      <c r="E2673" s="4">
        <f>481.28*(1-Z1%)</f>
        <v>481.28</v>
      </c>
      <c r="F2673" s="2">
        <v>1</v>
      </c>
      <c r="G2673" s="2"/>
    </row>
    <row r="2674" spans="1:26" customHeight="1" ht="18" hidden="true" outlineLevel="4">
      <c r="A2674" s="2" t="s">
        <v>5043</v>
      </c>
      <c r="B2674" s="3" t="s">
        <v>5044</v>
      </c>
      <c r="C2674" s="2"/>
      <c r="D2674" s="2" t="s">
        <v>16</v>
      </c>
      <c r="E2674" s="4">
        <f>504.09*(1-Z1%)</f>
        <v>504.09</v>
      </c>
      <c r="F2674" s="2">
        <v>2</v>
      </c>
      <c r="G2674" s="2"/>
    </row>
    <row r="2675" spans="1:26" customHeight="1" ht="18" hidden="true" outlineLevel="4">
      <c r="A2675" s="2" t="s">
        <v>5045</v>
      </c>
      <c r="B2675" s="3" t="s">
        <v>5046</v>
      </c>
      <c r="C2675" s="2"/>
      <c r="D2675" s="2" t="s">
        <v>16</v>
      </c>
      <c r="E2675" s="4">
        <f>302.61*(1-Z1%)</f>
        <v>302.61</v>
      </c>
      <c r="F2675" s="2">
        <v>2</v>
      </c>
      <c r="G2675" s="2"/>
    </row>
    <row r="2676" spans="1:26" customHeight="1" ht="18" hidden="true" outlineLevel="4">
      <c r="A2676" s="2" t="s">
        <v>5047</v>
      </c>
      <c r="B2676" s="3" t="s">
        <v>5048</v>
      </c>
      <c r="C2676" s="2"/>
      <c r="D2676" s="2" t="s">
        <v>16</v>
      </c>
      <c r="E2676" s="4">
        <f>308.66*(1-Z1%)</f>
        <v>308.66</v>
      </c>
      <c r="F2676" s="2">
        <v>1</v>
      </c>
      <c r="G2676" s="2"/>
    </row>
    <row r="2677" spans="1:26" customHeight="1" ht="35" hidden="true" outlineLevel="3">
      <c r="A2677" s="5" t="s">
        <v>5049</v>
      </c>
      <c r="B2677" s="5"/>
      <c r="C2677" s="5"/>
      <c r="D2677" s="5"/>
      <c r="E2677" s="5"/>
      <c r="F2677" s="5"/>
      <c r="G2677" s="5"/>
    </row>
    <row r="2678" spans="1:26" customHeight="1" ht="18" hidden="true" outlineLevel="3">
      <c r="A2678" s="2" t="s">
        <v>5050</v>
      </c>
      <c r="B2678" s="3" t="s">
        <v>5051</v>
      </c>
      <c r="C2678" s="2"/>
      <c r="D2678" s="2" t="s">
        <v>16</v>
      </c>
      <c r="E2678" s="4">
        <f>49.26*(1-Z1%)</f>
        <v>49.26</v>
      </c>
      <c r="F2678" s="2">
        <v>13</v>
      </c>
      <c r="G2678" s="2"/>
    </row>
    <row r="2679" spans="1:26" customHeight="1" ht="18" hidden="true" outlineLevel="3">
      <c r="A2679" s="2" t="s">
        <v>5052</v>
      </c>
      <c r="B2679" s="3" t="s">
        <v>5053</v>
      </c>
      <c r="C2679" s="2"/>
      <c r="D2679" s="2" t="s">
        <v>16</v>
      </c>
      <c r="E2679" s="4">
        <f>643.97*(1-Z1%)</f>
        <v>643.97</v>
      </c>
      <c r="F2679" s="2">
        <v>2</v>
      </c>
      <c r="G2679" s="2"/>
    </row>
    <row r="2680" spans="1:26" customHeight="1" ht="18" hidden="true" outlineLevel="3">
      <c r="A2680" s="2" t="s">
        <v>5054</v>
      </c>
      <c r="B2680" s="3" t="s">
        <v>5055</v>
      </c>
      <c r="C2680" s="2"/>
      <c r="D2680" s="2" t="s">
        <v>16</v>
      </c>
      <c r="E2680" s="4">
        <f>579.47*(1-Z1%)</f>
        <v>579.47</v>
      </c>
      <c r="F2680" s="2">
        <v>1</v>
      </c>
      <c r="G2680" s="2"/>
    </row>
    <row r="2681" spans="1:26" customHeight="1" ht="18" hidden="true" outlineLevel="3">
      <c r="A2681" s="2" t="s">
        <v>5056</v>
      </c>
      <c r="B2681" s="3" t="s">
        <v>5057</v>
      </c>
      <c r="C2681" s="2"/>
      <c r="D2681" s="2" t="s">
        <v>16</v>
      </c>
      <c r="E2681" s="4">
        <f>643.97*(1-Z1%)</f>
        <v>643.97</v>
      </c>
      <c r="F2681" s="2">
        <v>2</v>
      </c>
      <c r="G2681" s="2"/>
    </row>
    <row r="2682" spans="1:26" customHeight="1" ht="18" hidden="true" outlineLevel="3">
      <c r="A2682" s="2" t="s">
        <v>5058</v>
      </c>
      <c r="B2682" s="3" t="s">
        <v>5059</v>
      </c>
      <c r="C2682" s="2"/>
      <c r="D2682" s="2" t="s">
        <v>16</v>
      </c>
      <c r="E2682" s="4">
        <f>579.47*(1-Z1%)</f>
        <v>579.47</v>
      </c>
      <c r="F2682" s="2">
        <v>2</v>
      </c>
      <c r="G2682" s="2"/>
    </row>
    <row r="2683" spans="1:26" customHeight="1" ht="36" hidden="true" outlineLevel="3">
      <c r="A2683" s="2" t="s">
        <v>5060</v>
      </c>
      <c r="B2683" s="3" t="s">
        <v>5061</v>
      </c>
      <c r="C2683" s="2"/>
      <c r="D2683" s="2" t="s">
        <v>16</v>
      </c>
      <c r="E2683" s="4">
        <f>480.05*(1-Z1%)</f>
        <v>480.05</v>
      </c>
      <c r="F2683" s="2">
        <v>3</v>
      </c>
      <c r="G2683" s="2"/>
    </row>
    <row r="2684" spans="1:26" customHeight="1" ht="36" hidden="true" outlineLevel="3">
      <c r="A2684" s="2" t="s">
        <v>5062</v>
      </c>
      <c r="B2684" s="3" t="s">
        <v>5063</v>
      </c>
      <c r="C2684" s="2"/>
      <c r="D2684" s="2" t="s">
        <v>16</v>
      </c>
      <c r="E2684" s="4">
        <f>699.54*(1-Z1%)</f>
        <v>699.54</v>
      </c>
      <c r="F2684" s="2">
        <v>1</v>
      </c>
      <c r="G2684" s="2"/>
    </row>
    <row r="2685" spans="1:26" customHeight="1" ht="18" hidden="true" outlineLevel="3">
      <c r="A2685" s="2" t="s">
        <v>5064</v>
      </c>
      <c r="B2685" s="3" t="s">
        <v>5065</v>
      </c>
      <c r="C2685" s="2"/>
      <c r="D2685" s="2" t="s">
        <v>16</v>
      </c>
      <c r="E2685" s="4">
        <f>420.75*(1-Z1%)</f>
        <v>420.75</v>
      </c>
      <c r="F2685" s="2">
        <v>1</v>
      </c>
      <c r="G2685" s="2"/>
    </row>
    <row r="2686" spans="1:26" customHeight="1" ht="18" hidden="true" outlineLevel="3">
      <c r="A2686" s="2" t="s">
        <v>5066</v>
      </c>
      <c r="B2686" s="3" t="s">
        <v>5067</v>
      </c>
      <c r="C2686" s="2"/>
      <c r="D2686" s="2" t="s">
        <v>16</v>
      </c>
      <c r="E2686" s="4">
        <f>440.55*(1-Z1%)</f>
        <v>440.55</v>
      </c>
      <c r="F2686" s="2">
        <v>1</v>
      </c>
      <c r="G2686" s="2"/>
    </row>
    <row r="2687" spans="1:26" customHeight="1" ht="36" hidden="true" outlineLevel="3">
      <c r="A2687" s="2" t="s">
        <v>5068</v>
      </c>
      <c r="B2687" s="3" t="s">
        <v>5069</v>
      </c>
      <c r="C2687" s="2"/>
      <c r="D2687" s="2" t="s">
        <v>16</v>
      </c>
      <c r="E2687" s="4">
        <f>1834.72*(1-Z1%)</f>
        <v>1834.72</v>
      </c>
      <c r="F2687" s="2">
        <v>1</v>
      </c>
      <c r="G2687" s="2"/>
    </row>
    <row r="2688" spans="1:26" customHeight="1" ht="36" hidden="true" outlineLevel="3">
      <c r="A2688" s="2" t="s">
        <v>5070</v>
      </c>
      <c r="B2688" s="3" t="s">
        <v>5071</v>
      </c>
      <c r="C2688" s="2"/>
      <c r="D2688" s="2" t="s">
        <v>16</v>
      </c>
      <c r="E2688" s="4">
        <f>152.81*(1-Z1%)</f>
        <v>152.81</v>
      </c>
      <c r="F2688" s="2">
        <v>1</v>
      </c>
      <c r="G2688" s="2"/>
    </row>
    <row r="2689" spans="1:26" customHeight="1" ht="18" hidden="true" outlineLevel="3">
      <c r="A2689" s="2" t="s">
        <v>5072</v>
      </c>
      <c r="B2689" s="3" t="s">
        <v>5073</v>
      </c>
      <c r="C2689" s="2"/>
      <c r="D2689" s="2" t="s">
        <v>16</v>
      </c>
      <c r="E2689" s="4">
        <f>901.93*(1-Z1%)</f>
        <v>901.93</v>
      </c>
      <c r="F2689" s="2">
        <v>2</v>
      </c>
      <c r="G2689" s="2"/>
    </row>
    <row r="2690" spans="1:26" customHeight="1" ht="18" hidden="true" outlineLevel="3">
      <c r="A2690" s="2" t="s">
        <v>5074</v>
      </c>
      <c r="B2690" s="3" t="s">
        <v>5075</v>
      </c>
      <c r="C2690" s="2"/>
      <c r="D2690" s="2" t="s">
        <v>16</v>
      </c>
      <c r="E2690" s="4">
        <f>790.25*(1-Z1%)</f>
        <v>790.25</v>
      </c>
      <c r="F2690" s="2">
        <v>1</v>
      </c>
      <c r="G2690" s="2"/>
    </row>
    <row r="2691" spans="1:26" customHeight="1" ht="36" hidden="true" outlineLevel="3">
      <c r="A2691" s="2" t="s">
        <v>5076</v>
      </c>
      <c r="B2691" s="3" t="s">
        <v>5077</v>
      </c>
      <c r="C2691" s="2"/>
      <c r="D2691" s="2" t="s">
        <v>16</v>
      </c>
      <c r="E2691" s="4">
        <f>842.63*(1-Z1%)</f>
        <v>842.63</v>
      </c>
      <c r="F2691" s="2">
        <v>2</v>
      </c>
      <c r="G2691" s="2"/>
    </row>
    <row r="2692" spans="1:26" customHeight="1" ht="36" hidden="true" outlineLevel="3">
      <c r="A2692" s="2" t="s">
        <v>5078</v>
      </c>
      <c r="B2692" s="3" t="s">
        <v>5079</v>
      </c>
      <c r="C2692" s="2"/>
      <c r="D2692" s="2" t="s">
        <v>16</v>
      </c>
      <c r="E2692" s="4">
        <f>701.79*(1-Z1%)</f>
        <v>701.79</v>
      </c>
      <c r="F2692" s="2">
        <v>2</v>
      </c>
      <c r="G2692" s="2"/>
    </row>
    <row r="2693" spans="1:26" customHeight="1" ht="35" hidden="true" outlineLevel="3">
      <c r="A2693" s="5" t="s">
        <v>5080</v>
      </c>
      <c r="B2693" s="5"/>
      <c r="C2693" s="5"/>
      <c r="D2693" s="5"/>
      <c r="E2693" s="5"/>
      <c r="F2693" s="5"/>
      <c r="G2693" s="5"/>
    </row>
    <row r="2694" spans="1:26" customHeight="1" ht="35" hidden="true" outlineLevel="4">
      <c r="A2694" s="5" t="s">
        <v>5081</v>
      </c>
      <c r="B2694" s="5"/>
      <c r="C2694" s="5"/>
      <c r="D2694" s="5"/>
      <c r="E2694" s="5"/>
      <c r="F2694" s="5"/>
      <c r="G2694" s="5"/>
    </row>
    <row r="2695" spans="1:26" customHeight="1" ht="36" hidden="true" outlineLevel="4">
      <c r="A2695" s="2" t="s">
        <v>5082</v>
      </c>
      <c r="B2695" s="3" t="s">
        <v>5083</v>
      </c>
      <c r="C2695" s="2"/>
      <c r="D2695" s="2" t="s">
        <v>16</v>
      </c>
      <c r="E2695" s="4">
        <f>97.51*(1-Z1%)</f>
        <v>97.51</v>
      </c>
      <c r="F2695" s="2">
        <v>1</v>
      </c>
      <c r="G2695" s="2"/>
    </row>
    <row r="2696" spans="1:26" customHeight="1" ht="18" hidden="true" outlineLevel="4">
      <c r="A2696" s="2" t="s">
        <v>5084</v>
      </c>
      <c r="B2696" s="3" t="s">
        <v>5085</v>
      </c>
      <c r="C2696" s="2"/>
      <c r="D2696" s="2" t="s">
        <v>16</v>
      </c>
      <c r="E2696" s="4">
        <f>49.38*(1-Z1%)</f>
        <v>49.38</v>
      </c>
      <c r="F2696" s="2">
        <v>1</v>
      </c>
      <c r="G2696" s="2"/>
    </row>
    <row r="2697" spans="1:26" customHeight="1" ht="18" hidden="true" outlineLevel="4">
      <c r="A2697" s="2" t="s">
        <v>5086</v>
      </c>
      <c r="B2697" s="3" t="s">
        <v>5087</v>
      </c>
      <c r="C2697" s="2"/>
      <c r="D2697" s="2" t="s">
        <v>16</v>
      </c>
      <c r="E2697" s="4">
        <f>33.00*(1-Z1%)</f>
        <v>33</v>
      </c>
      <c r="F2697" s="2">
        <v>5</v>
      </c>
      <c r="G2697" s="2"/>
    </row>
    <row r="2698" spans="1:26" customHeight="1" ht="35" hidden="true" outlineLevel="3">
      <c r="A2698" s="5" t="s">
        <v>5088</v>
      </c>
      <c r="B2698" s="5"/>
      <c r="C2698" s="5"/>
      <c r="D2698" s="5"/>
      <c r="E2698" s="5"/>
      <c r="F2698" s="5"/>
      <c r="G2698" s="5"/>
    </row>
    <row r="2699" spans="1:26" customHeight="1" ht="18" hidden="true" outlineLevel="3">
      <c r="A2699" s="2" t="s">
        <v>5089</v>
      </c>
      <c r="B2699" s="3" t="s">
        <v>5090</v>
      </c>
      <c r="C2699" s="2"/>
      <c r="D2699" s="2" t="s">
        <v>16</v>
      </c>
      <c r="E2699" s="4">
        <f>151.00*(1-Z1%)</f>
        <v>151</v>
      </c>
      <c r="F2699" s="2">
        <v>3</v>
      </c>
      <c r="G2699" s="2"/>
    </row>
    <row r="2700" spans="1:26" customHeight="1" ht="18" hidden="true" outlineLevel="3">
      <c r="A2700" s="2" t="s">
        <v>5091</v>
      </c>
      <c r="B2700" s="3" t="s">
        <v>5092</v>
      </c>
      <c r="C2700" s="2"/>
      <c r="D2700" s="2" t="s">
        <v>16</v>
      </c>
      <c r="E2700" s="4">
        <f>282.79*(1-Z1%)</f>
        <v>282.79</v>
      </c>
      <c r="F2700" s="2">
        <v>1</v>
      </c>
      <c r="G2700" s="2"/>
    </row>
    <row r="2701" spans="1:26" customHeight="1" ht="18" hidden="true" outlineLevel="3">
      <c r="A2701" s="2" t="s">
        <v>5093</v>
      </c>
      <c r="B2701" s="3" t="s">
        <v>5094</v>
      </c>
      <c r="C2701" s="2"/>
      <c r="D2701" s="2" t="s">
        <v>16</v>
      </c>
      <c r="E2701" s="4">
        <f>515.99*(1-Z1%)</f>
        <v>515.99</v>
      </c>
      <c r="F2701" s="2">
        <v>3</v>
      </c>
      <c r="G2701" s="2"/>
    </row>
    <row r="2702" spans="1:26" customHeight="1" ht="18" hidden="true" outlineLevel="3">
      <c r="A2702" s="2" t="s">
        <v>5095</v>
      </c>
      <c r="B2702" s="3" t="s">
        <v>5096</v>
      </c>
      <c r="C2702" s="2"/>
      <c r="D2702" s="2" t="s">
        <v>16</v>
      </c>
      <c r="E2702" s="4">
        <f>411.42*(1-Z1%)</f>
        <v>411.42</v>
      </c>
      <c r="F2702" s="2">
        <v>1</v>
      </c>
      <c r="G2702" s="2"/>
    </row>
    <row r="2703" spans="1:26" customHeight="1" ht="36" hidden="true" outlineLevel="3">
      <c r="A2703" s="2" t="s">
        <v>5097</v>
      </c>
      <c r="B2703" s="3" t="s">
        <v>5098</v>
      </c>
      <c r="C2703" s="2"/>
      <c r="D2703" s="2" t="s">
        <v>16</v>
      </c>
      <c r="E2703" s="4">
        <f>417.71*(1-Z1%)</f>
        <v>417.71</v>
      </c>
      <c r="F2703" s="2">
        <v>1</v>
      </c>
      <c r="G2703" s="2"/>
    </row>
    <row r="2704" spans="1:26" customHeight="1" ht="35" hidden="true" outlineLevel="3">
      <c r="A2704" s="5" t="s">
        <v>5099</v>
      </c>
      <c r="B2704" s="5"/>
      <c r="C2704" s="5"/>
      <c r="D2704" s="5"/>
      <c r="E2704" s="5"/>
      <c r="F2704" s="5"/>
      <c r="G2704" s="5"/>
    </row>
    <row r="2705" spans="1:26" customHeight="1" ht="36" hidden="true" outlineLevel="3">
      <c r="A2705" s="2" t="s">
        <v>5100</v>
      </c>
      <c r="B2705" s="3" t="s">
        <v>5101</v>
      </c>
      <c r="C2705" s="2"/>
      <c r="D2705" s="2" t="s">
        <v>16</v>
      </c>
      <c r="E2705" s="4">
        <f>1889.98*(1-Z1%)</f>
        <v>1889.98</v>
      </c>
      <c r="F2705" s="2">
        <v>1</v>
      </c>
      <c r="G2705" s="2"/>
    </row>
    <row r="2706" spans="1:26" customHeight="1" ht="36" hidden="true" outlineLevel="3">
      <c r="A2706" s="2" t="s">
        <v>5102</v>
      </c>
      <c r="B2706" s="3" t="s">
        <v>5103</v>
      </c>
      <c r="C2706" s="2"/>
      <c r="D2706" s="2" t="s">
        <v>16</v>
      </c>
      <c r="E2706" s="4">
        <f>2051.72*(1-Z1%)</f>
        <v>2051.72</v>
      </c>
      <c r="F2706" s="2">
        <v>1</v>
      </c>
      <c r="G2706" s="2"/>
    </row>
    <row r="2707" spans="1:26" customHeight="1" ht="36" hidden="true" outlineLevel="3">
      <c r="A2707" s="2" t="s">
        <v>5104</v>
      </c>
      <c r="B2707" s="3" t="s">
        <v>5105</v>
      </c>
      <c r="C2707" s="2"/>
      <c r="D2707" s="2" t="s">
        <v>16</v>
      </c>
      <c r="E2707" s="4">
        <f>2037.42*(1-Z1%)</f>
        <v>2037.42</v>
      </c>
      <c r="F2707" s="2">
        <v>1</v>
      </c>
      <c r="G2707" s="2"/>
    </row>
    <row r="2708" spans="1:26" customHeight="1" ht="36" hidden="true" outlineLevel="3">
      <c r="A2708" s="2" t="s">
        <v>5106</v>
      </c>
      <c r="B2708" s="3" t="s">
        <v>5107</v>
      </c>
      <c r="C2708" s="2"/>
      <c r="D2708" s="2" t="s">
        <v>16</v>
      </c>
      <c r="E2708" s="4">
        <f>2277.81*(1-Z1%)</f>
        <v>2277.81</v>
      </c>
      <c r="F2708" s="2">
        <v>1</v>
      </c>
      <c r="G2708" s="2"/>
    </row>
    <row r="2709" spans="1:26" customHeight="1" ht="35" hidden="true" outlineLevel="3">
      <c r="A2709" s="5" t="s">
        <v>5108</v>
      </c>
      <c r="B2709" s="5"/>
      <c r="C2709" s="5"/>
      <c r="D2709" s="5"/>
      <c r="E2709" s="5"/>
      <c r="F2709" s="5"/>
      <c r="G2709" s="5"/>
    </row>
    <row r="2710" spans="1:26" customHeight="1" ht="35" hidden="true" outlineLevel="4">
      <c r="A2710" s="5" t="s">
        <v>5109</v>
      </c>
      <c r="B2710" s="5"/>
      <c r="C2710" s="5"/>
      <c r="D2710" s="5"/>
      <c r="E2710" s="5"/>
      <c r="F2710" s="5"/>
      <c r="G2710" s="5"/>
    </row>
    <row r="2711" spans="1:26" customHeight="1" ht="18" hidden="true" outlineLevel="4">
      <c r="A2711" s="2" t="s">
        <v>5110</v>
      </c>
      <c r="B2711" s="3" t="s">
        <v>5111</v>
      </c>
      <c r="C2711" s="2"/>
      <c r="D2711" s="2" t="s">
        <v>16</v>
      </c>
      <c r="E2711" s="4">
        <f>146.25*(1-Z1%)</f>
        <v>146.25</v>
      </c>
      <c r="F2711" s="2">
        <v>4</v>
      </c>
      <c r="G2711" s="2"/>
    </row>
    <row r="2712" spans="1:26" customHeight="1" ht="18" hidden="true" outlineLevel="4">
      <c r="A2712" s="2" t="s">
        <v>5112</v>
      </c>
      <c r="B2712" s="3" t="s">
        <v>5113</v>
      </c>
      <c r="C2712" s="2"/>
      <c r="D2712" s="2" t="s">
        <v>16</v>
      </c>
      <c r="E2712" s="4">
        <f>146.25*(1-Z1%)</f>
        <v>146.25</v>
      </c>
      <c r="F2712" s="2">
        <v>2</v>
      </c>
      <c r="G2712" s="2"/>
    </row>
    <row r="2713" spans="1:26" customHeight="1" ht="18" hidden="true" outlineLevel="4">
      <c r="A2713" s="2" t="s">
        <v>5114</v>
      </c>
      <c r="B2713" s="3" t="s">
        <v>5115</v>
      </c>
      <c r="C2713" s="2"/>
      <c r="D2713" s="2" t="s">
        <v>16</v>
      </c>
      <c r="E2713" s="4">
        <f>146.25*(1-Z1%)</f>
        <v>146.25</v>
      </c>
      <c r="F2713" s="2">
        <v>2</v>
      </c>
      <c r="G2713" s="2"/>
    </row>
    <row r="2714" spans="1:26" customHeight="1" ht="18" hidden="true" outlineLevel="4">
      <c r="A2714" s="2" t="s">
        <v>5116</v>
      </c>
      <c r="B2714" s="3" t="s">
        <v>5117</v>
      </c>
      <c r="C2714" s="2"/>
      <c r="D2714" s="2" t="s">
        <v>16</v>
      </c>
      <c r="E2714" s="4">
        <f>157.95*(1-Z1%)</f>
        <v>157.95</v>
      </c>
      <c r="F2714" s="2">
        <v>4</v>
      </c>
      <c r="G2714" s="2"/>
    </row>
    <row r="2715" spans="1:26" customHeight="1" ht="18" hidden="true" outlineLevel="4">
      <c r="A2715" s="2" t="s">
        <v>5118</v>
      </c>
      <c r="B2715" s="3" t="s">
        <v>5119</v>
      </c>
      <c r="C2715" s="2"/>
      <c r="D2715" s="2" t="s">
        <v>16</v>
      </c>
      <c r="E2715" s="4">
        <f>244.29*(1-Z1%)</f>
        <v>244.29</v>
      </c>
      <c r="F2715" s="2">
        <v>4</v>
      </c>
      <c r="G2715" s="2"/>
    </row>
    <row r="2716" spans="1:26" customHeight="1" ht="18" hidden="true" outlineLevel="4">
      <c r="A2716" s="2" t="s">
        <v>5120</v>
      </c>
      <c r="B2716" s="3" t="s">
        <v>5121</v>
      </c>
      <c r="C2716" s="2"/>
      <c r="D2716" s="2" t="s">
        <v>16</v>
      </c>
      <c r="E2716" s="4">
        <f>296.26*(1-Z1%)</f>
        <v>296.26</v>
      </c>
      <c r="F2716" s="2">
        <v>3</v>
      </c>
      <c r="G2716" s="2"/>
    </row>
    <row r="2717" spans="1:26" customHeight="1" ht="18" hidden="true" outlineLevel="4">
      <c r="A2717" s="2" t="s">
        <v>5122</v>
      </c>
      <c r="B2717" s="3" t="s">
        <v>5123</v>
      </c>
      <c r="C2717" s="2"/>
      <c r="D2717" s="2" t="s">
        <v>16</v>
      </c>
      <c r="E2717" s="4">
        <f>214.09*(1-Z1%)</f>
        <v>214.09</v>
      </c>
      <c r="F2717" s="2">
        <v>2</v>
      </c>
      <c r="G2717" s="2"/>
    </row>
    <row r="2718" spans="1:26" customHeight="1" ht="35" hidden="true" outlineLevel="4">
      <c r="A2718" s="5" t="s">
        <v>5124</v>
      </c>
      <c r="B2718" s="5"/>
      <c r="C2718" s="5"/>
      <c r="D2718" s="5"/>
      <c r="E2718" s="5"/>
      <c r="F2718" s="5"/>
      <c r="G2718" s="5"/>
    </row>
    <row r="2719" spans="1:26" customHeight="1" ht="36" hidden="true" outlineLevel="4">
      <c r="A2719" s="2" t="s">
        <v>5125</v>
      </c>
      <c r="B2719" s="3" t="s">
        <v>5126</v>
      </c>
      <c r="C2719" s="2"/>
      <c r="D2719" s="2" t="s">
        <v>16</v>
      </c>
      <c r="E2719" s="4">
        <f>289.40*(1-Z1%)</f>
        <v>289.4</v>
      </c>
      <c r="F2719" s="2">
        <v>1</v>
      </c>
      <c r="G2719" s="2"/>
    </row>
    <row r="2720" spans="1:26" customHeight="1" ht="36" hidden="true" outlineLevel="4">
      <c r="A2720" s="2" t="s">
        <v>5127</v>
      </c>
      <c r="B2720" s="3" t="s">
        <v>5128</v>
      </c>
      <c r="C2720" s="2"/>
      <c r="D2720" s="2" t="s">
        <v>16</v>
      </c>
      <c r="E2720" s="4">
        <f>51.17*(1-Z1%)</f>
        <v>51.17</v>
      </c>
      <c r="F2720" s="2">
        <v>8</v>
      </c>
      <c r="G2720" s="2"/>
    </row>
    <row r="2721" spans="1:26" customHeight="1" ht="36" hidden="true" outlineLevel="4">
      <c r="A2721" s="2" t="s">
        <v>5129</v>
      </c>
      <c r="B2721" s="3" t="s">
        <v>5130</v>
      </c>
      <c r="C2721" s="2"/>
      <c r="D2721" s="2" t="s">
        <v>16</v>
      </c>
      <c r="E2721" s="4">
        <f>66.53*(1-Z1%)</f>
        <v>66.53</v>
      </c>
      <c r="F2721" s="2">
        <v>2</v>
      </c>
      <c r="G2721" s="2"/>
    </row>
    <row r="2722" spans="1:26" customHeight="1" ht="36" hidden="true" outlineLevel="4">
      <c r="A2722" s="2" t="s">
        <v>5131</v>
      </c>
      <c r="B2722" s="3" t="s">
        <v>5132</v>
      </c>
      <c r="C2722" s="2"/>
      <c r="D2722" s="2" t="s">
        <v>16</v>
      </c>
      <c r="E2722" s="4">
        <f>26.10*(1-Z1%)</f>
        <v>26.1</v>
      </c>
      <c r="F2722" s="2">
        <v>1</v>
      </c>
      <c r="G2722" s="2"/>
    </row>
    <row r="2723" spans="1:26" customHeight="1" ht="36" hidden="true" outlineLevel="4">
      <c r="A2723" s="2" t="s">
        <v>5133</v>
      </c>
      <c r="B2723" s="3" t="s">
        <v>5134</v>
      </c>
      <c r="C2723" s="2"/>
      <c r="D2723" s="2" t="s">
        <v>16</v>
      </c>
      <c r="E2723" s="4">
        <f>26.10*(1-Z1%)</f>
        <v>26.1</v>
      </c>
      <c r="F2723" s="2">
        <v>2</v>
      </c>
      <c r="G2723" s="2"/>
    </row>
    <row r="2724" spans="1:26" customHeight="1" ht="36" hidden="true" outlineLevel="4">
      <c r="A2724" s="2" t="s">
        <v>5135</v>
      </c>
      <c r="B2724" s="3" t="s">
        <v>5136</v>
      </c>
      <c r="C2724" s="2"/>
      <c r="D2724" s="2" t="s">
        <v>16</v>
      </c>
      <c r="E2724" s="4">
        <f>26.10*(1-Z1%)</f>
        <v>26.1</v>
      </c>
      <c r="F2724" s="2">
        <v>1</v>
      </c>
      <c r="G2724" s="2"/>
    </row>
    <row r="2725" spans="1:26" customHeight="1" ht="36" hidden="true" outlineLevel="4">
      <c r="A2725" s="2" t="s">
        <v>5137</v>
      </c>
      <c r="B2725" s="3" t="s">
        <v>5138</v>
      </c>
      <c r="C2725" s="2"/>
      <c r="D2725" s="2" t="s">
        <v>16</v>
      </c>
      <c r="E2725" s="4">
        <f>26.10*(1-Z1%)</f>
        <v>26.1</v>
      </c>
      <c r="F2725" s="2">
        <v>1</v>
      </c>
      <c r="G2725" s="2"/>
    </row>
    <row r="2726" spans="1:26" customHeight="1" ht="36" hidden="true" outlineLevel="4">
      <c r="A2726" s="2" t="s">
        <v>5139</v>
      </c>
      <c r="B2726" s="3" t="s">
        <v>5140</v>
      </c>
      <c r="C2726" s="2"/>
      <c r="D2726" s="2" t="s">
        <v>16</v>
      </c>
      <c r="E2726" s="4">
        <f>235.07*(1-Z1%)</f>
        <v>235.07</v>
      </c>
      <c r="F2726" s="2">
        <v>1</v>
      </c>
      <c r="G2726" s="2"/>
    </row>
    <row r="2727" spans="1:26" customHeight="1" ht="36" hidden="true" outlineLevel="4">
      <c r="A2727" s="2" t="s">
        <v>5141</v>
      </c>
      <c r="B2727" s="3" t="s">
        <v>5142</v>
      </c>
      <c r="C2727" s="2"/>
      <c r="D2727" s="2" t="s">
        <v>16</v>
      </c>
      <c r="E2727" s="4">
        <f>235.07*(1-Z1%)</f>
        <v>235.07</v>
      </c>
      <c r="F2727" s="2">
        <v>1</v>
      </c>
      <c r="G2727" s="2"/>
    </row>
    <row r="2728" spans="1:26" customHeight="1" ht="36" hidden="true" outlineLevel="4">
      <c r="A2728" s="2" t="s">
        <v>5143</v>
      </c>
      <c r="B2728" s="3" t="s">
        <v>5144</v>
      </c>
      <c r="C2728" s="2"/>
      <c r="D2728" s="2" t="s">
        <v>16</v>
      </c>
      <c r="E2728" s="4">
        <f>128.75*(1-Z1%)</f>
        <v>128.75</v>
      </c>
      <c r="F2728" s="2">
        <v>3</v>
      </c>
      <c r="G2728" s="2"/>
    </row>
    <row r="2729" spans="1:26" customHeight="1" ht="36" hidden="true" outlineLevel="4">
      <c r="A2729" s="2" t="s">
        <v>5145</v>
      </c>
      <c r="B2729" s="3" t="s">
        <v>5146</v>
      </c>
      <c r="C2729" s="2"/>
      <c r="D2729" s="2" t="s">
        <v>16</v>
      </c>
      <c r="E2729" s="4">
        <f>116.95*(1-Z1%)</f>
        <v>116.95</v>
      </c>
      <c r="F2729" s="2">
        <v>2</v>
      </c>
      <c r="G2729" s="2"/>
    </row>
    <row r="2730" spans="1:26" customHeight="1" ht="36" hidden="true" outlineLevel="4">
      <c r="A2730" s="2" t="s">
        <v>5147</v>
      </c>
      <c r="B2730" s="3" t="s">
        <v>5148</v>
      </c>
      <c r="C2730" s="2"/>
      <c r="D2730" s="2" t="s">
        <v>16</v>
      </c>
      <c r="E2730" s="4">
        <f>199.63*(1-Z1%)</f>
        <v>199.63</v>
      </c>
      <c r="F2730" s="2">
        <v>2</v>
      </c>
      <c r="G2730" s="2"/>
    </row>
    <row r="2731" spans="1:26" customHeight="1" ht="36" hidden="true" outlineLevel="4">
      <c r="A2731" s="2" t="s">
        <v>5149</v>
      </c>
      <c r="B2731" s="3" t="s">
        <v>5150</v>
      </c>
      <c r="C2731" s="2"/>
      <c r="D2731" s="2" t="s">
        <v>16</v>
      </c>
      <c r="E2731" s="4">
        <f>353.20*(1-Z1%)</f>
        <v>353.2</v>
      </c>
      <c r="F2731" s="2">
        <v>2</v>
      </c>
      <c r="G2731" s="2"/>
    </row>
    <row r="2732" spans="1:26" customHeight="1" ht="35" hidden="true" outlineLevel="4">
      <c r="A2732" s="5" t="s">
        <v>5151</v>
      </c>
      <c r="B2732" s="5"/>
      <c r="C2732" s="5"/>
      <c r="D2732" s="5"/>
      <c r="E2732" s="5"/>
      <c r="F2732" s="5"/>
      <c r="G2732" s="5"/>
    </row>
    <row r="2733" spans="1:26" customHeight="1" ht="36" hidden="true" outlineLevel="4">
      <c r="A2733" s="2" t="s">
        <v>5152</v>
      </c>
      <c r="B2733" s="3" t="s">
        <v>5153</v>
      </c>
      <c r="C2733" s="2"/>
      <c r="D2733" s="2" t="s">
        <v>16</v>
      </c>
      <c r="E2733" s="4">
        <f>350.96*(1-Z1%)</f>
        <v>350.96</v>
      </c>
      <c r="F2733" s="2">
        <v>2</v>
      </c>
      <c r="G2733" s="2"/>
    </row>
    <row r="2734" spans="1:26" customHeight="1" ht="36" hidden="true" outlineLevel="4">
      <c r="A2734" s="2" t="s">
        <v>5154</v>
      </c>
      <c r="B2734" s="3" t="s">
        <v>5155</v>
      </c>
      <c r="C2734" s="2"/>
      <c r="D2734" s="2" t="s">
        <v>16</v>
      </c>
      <c r="E2734" s="4">
        <f>350.96*(1-Z1%)</f>
        <v>350.96</v>
      </c>
      <c r="F2734" s="2">
        <v>2</v>
      </c>
      <c r="G2734" s="2"/>
    </row>
    <row r="2735" spans="1:26" customHeight="1" ht="36" hidden="true" outlineLevel="4">
      <c r="A2735" s="2" t="s">
        <v>5156</v>
      </c>
      <c r="B2735" s="3" t="s">
        <v>5157</v>
      </c>
      <c r="C2735" s="2"/>
      <c r="D2735" s="2" t="s">
        <v>16</v>
      </c>
      <c r="E2735" s="4">
        <f>446.57*(1-Z1%)</f>
        <v>446.57</v>
      </c>
      <c r="F2735" s="2">
        <v>2</v>
      </c>
      <c r="G2735" s="2"/>
    </row>
    <row r="2736" spans="1:26" customHeight="1" ht="36" hidden="true" outlineLevel="4">
      <c r="A2736" s="2" t="s">
        <v>5158</v>
      </c>
      <c r="B2736" s="3" t="s">
        <v>5159</v>
      </c>
      <c r="C2736" s="2"/>
      <c r="D2736" s="2" t="s">
        <v>16</v>
      </c>
      <c r="E2736" s="4">
        <f>874.26*(1-Z1%)</f>
        <v>874.26</v>
      </c>
      <c r="F2736" s="2">
        <v>2</v>
      </c>
      <c r="G2736" s="2"/>
    </row>
    <row r="2737" spans="1:26" customHeight="1" ht="36" hidden="true" outlineLevel="4">
      <c r="A2737" s="2" t="s">
        <v>5160</v>
      </c>
      <c r="B2737" s="3" t="s">
        <v>5161</v>
      </c>
      <c r="C2737" s="2"/>
      <c r="D2737" s="2" t="s">
        <v>16</v>
      </c>
      <c r="E2737" s="4">
        <f>986.72*(1-Z1%)</f>
        <v>986.72</v>
      </c>
      <c r="F2737" s="2">
        <v>2</v>
      </c>
      <c r="G2737" s="2"/>
    </row>
    <row r="2738" spans="1:26" customHeight="1" ht="36" hidden="true" outlineLevel="4">
      <c r="A2738" s="2" t="s">
        <v>5162</v>
      </c>
      <c r="B2738" s="3" t="s">
        <v>5163</v>
      </c>
      <c r="C2738" s="2"/>
      <c r="D2738" s="2" t="s">
        <v>16</v>
      </c>
      <c r="E2738" s="4">
        <f>108.18*(1-Z1%)</f>
        <v>108.18</v>
      </c>
      <c r="F2738" s="2">
        <v>1</v>
      </c>
      <c r="G2738" s="2"/>
    </row>
    <row r="2739" spans="1:26" customHeight="1" ht="36" hidden="true" outlineLevel="4">
      <c r="A2739" s="2" t="s">
        <v>5164</v>
      </c>
      <c r="B2739" s="3" t="s">
        <v>5165</v>
      </c>
      <c r="C2739" s="2"/>
      <c r="D2739" s="2" t="s">
        <v>16</v>
      </c>
      <c r="E2739" s="4">
        <f>132.08*(1-Z1%)</f>
        <v>132.08</v>
      </c>
      <c r="F2739" s="2">
        <v>2</v>
      </c>
      <c r="G2739" s="2"/>
    </row>
    <row r="2740" spans="1:26" customHeight="1" ht="36" hidden="true" outlineLevel="4">
      <c r="A2740" s="2" t="s">
        <v>5166</v>
      </c>
      <c r="B2740" s="3" t="s">
        <v>5167</v>
      </c>
      <c r="C2740" s="2"/>
      <c r="D2740" s="2" t="s">
        <v>16</v>
      </c>
      <c r="E2740" s="4">
        <f>108.18*(1-Z1%)</f>
        <v>108.18</v>
      </c>
      <c r="F2740" s="2">
        <v>2</v>
      </c>
      <c r="G2740" s="2"/>
    </row>
    <row r="2741" spans="1:26" customHeight="1" ht="36" hidden="true" outlineLevel="4">
      <c r="A2741" s="2" t="s">
        <v>5168</v>
      </c>
      <c r="B2741" s="3" t="s">
        <v>5169</v>
      </c>
      <c r="C2741" s="2"/>
      <c r="D2741" s="2" t="s">
        <v>16</v>
      </c>
      <c r="E2741" s="4">
        <f>108.18*(1-Z1%)</f>
        <v>108.18</v>
      </c>
      <c r="F2741" s="2">
        <v>2</v>
      </c>
      <c r="G2741" s="2"/>
    </row>
    <row r="2742" spans="1:26" customHeight="1" ht="36" hidden="true" outlineLevel="4">
      <c r="A2742" s="2" t="s">
        <v>5170</v>
      </c>
      <c r="B2742" s="3" t="s">
        <v>5171</v>
      </c>
      <c r="C2742" s="2"/>
      <c r="D2742" s="2" t="s">
        <v>16</v>
      </c>
      <c r="E2742" s="4">
        <f>109.45*(1-Z1%)</f>
        <v>109.45</v>
      </c>
      <c r="F2742" s="2">
        <v>1</v>
      </c>
      <c r="G2742" s="2"/>
    </row>
    <row r="2743" spans="1:26" customHeight="1" ht="36" hidden="true" outlineLevel="4">
      <c r="A2743" s="2" t="s">
        <v>5172</v>
      </c>
      <c r="B2743" s="3" t="s">
        <v>5173</v>
      </c>
      <c r="C2743" s="2"/>
      <c r="D2743" s="2" t="s">
        <v>16</v>
      </c>
      <c r="E2743" s="4">
        <f>109.45*(1-Z1%)</f>
        <v>109.45</v>
      </c>
      <c r="F2743" s="2">
        <v>2</v>
      </c>
      <c r="G2743" s="2"/>
    </row>
    <row r="2744" spans="1:26" customHeight="1" ht="35" hidden="true" outlineLevel="4">
      <c r="A2744" s="5" t="s">
        <v>5174</v>
      </c>
      <c r="B2744" s="5"/>
      <c r="C2744" s="5"/>
      <c r="D2744" s="5"/>
      <c r="E2744" s="5"/>
      <c r="F2744" s="5"/>
      <c r="G2744" s="5"/>
    </row>
    <row r="2745" spans="1:26" customHeight="1" ht="18" hidden="true" outlineLevel="4">
      <c r="A2745" s="2" t="s">
        <v>5175</v>
      </c>
      <c r="B2745" s="3" t="s">
        <v>5176</v>
      </c>
      <c r="C2745" s="2"/>
      <c r="D2745" s="2" t="s">
        <v>16</v>
      </c>
      <c r="E2745" s="4">
        <f>1392.75*(1-Z1%)</f>
        <v>1392.75</v>
      </c>
      <c r="F2745" s="2">
        <v>1</v>
      </c>
      <c r="G2745" s="2"/>
    </row>
    <row r="2746" spans="1:26" customHeight="1" ht="18" hidden="true" outlineLevel="4">
      <c r="A2746" s="2" t="s">
        <v>5177</v>
      </c>
      <c r="B2746" s="3" t="s">
        <v>5178</v>
      </c>
      <c r="C2746" s="2"/>
      <c r="D2746" s="2" t="s">
        <v>16</v>
      </c>
      <c r="E2746" s="4">
        <f>1392.75*(1-Z1%)</f>
        <v>1392.75</v>
      </c>
      <c r="F2746" s="2">
        <v>1</v>
      </c>
      <c r="G2746" s="2"/>
    </row>
    <row r="2747" spans="1:26" customHeight="1" ht="35" hidden="true" outlineLevel="4">
      <c r="A2747" s="5" t="s">
        <v>5179</v>
      </c>
      <c r="B2747" s="5"/>
      <c r="C2747" s="5"/>
      <c r="D2747" s="5"/>
      <c r="E2747" s="5"/>
      <c r="F2747" s="5"/>
      <c r="G2747" s="5"/>
    </row>
    <row r="2748" spans="1:26" customHeight="1" ht="18" hidden="true" outlineLevel="4">
      <c r="A2748" s="2" t="s">
        <v>5180</v>
      </c>
      <c r="B2748" s="3" t="s">
        <v>5181</v>
      </c>
      <c r="C2748" s="2"/>
      <c r="D2748" s="2" t="s">
        <v>16</v>
      </c>
      <c r="E2748" s="4">
        <f>149.70*(1-Z1%)</f>
        <v>149.7</v>
      </c>
      <c r="F2748" s="2">
        <v>1</v>
      </c>
      <c r="G2748" s="2"/>
    </row>
    <row r="2749" spans="1:26" customHeight="1" ht="18" hidden="true" outlineLevel="4">
      <c r="A2749" s="2" t="s">
        <v>5182</v>
      </c>
      <c r="B2749" s="3" t="s">
        <v>5183</v>
      </c>
      <c r="C2749" s="2"/>
      <c r="D2749" s="2" t="s">
        <v>16</v>
      </c>
      <c r="E2749" s="4">
        <f>149.70*(1-Z1%)</f>
        <v>149.7</v>
      </c>
      <c r="F2749" s="2">
        <v>2</v>
      </c>
      <c r="G2749" s="2"/>
    </row>
    <row r="2750" spans="1:26" customHeight="1" ht="36" hidden="true" outlineLevel="4">
      <c r="A2750" s="2" t="s">
        <v>5184</v>
      </c>
      <c r="B2750" s="3" t="s">
        <v>5185</v>
      </c>
      <c r="C2750" s="2"/>
      <c r="D2750" s="2" t="s">
        <v>16</v>
      </c>
      <c r="E2750" s="4">
        <f>178.00*(1-Z1%)</f>
        <v>178</v>
      </c>
      <c r="F2750" s="2">
        <v>1</v>
      </c>
      <c r="G2750" s="2"/>
    </row>
    <row r="2751" spans="1:26" customHeight="1" ht="36" hidden="true" outlineLevel="4">
      <c r="A2751" s="2" t="s">
        <v>5186</v>
      </c>
      <c r="B2751" s="3" t="s">
        <v>5187</v>
      </c>
      <c r="C2751" s="2"/>
      <c r="D2751" s="2" t="s">
        <v>16</v>
      </c>
      <c r="E2751" s="4">
        <f>185.86*(1-Z1%)</f>
        <v>185.86</v>
      </c>
      <c r="F2751" s="2">
        <v>1</v>
      </c>
      <c r="G2751" s="2"/>
    </row>
    <row r="2752" spans="1:26" customHeight="1" ht="36" hidden="true" outlineLevel="4">
      <c r="A2752" s="2" t="s">
        <v>5188</v>
      </c>
      <c r="B2752" s="3" t="s">
        <v>5189</v>
      </c>
      <c r="C2752" s="2"/>
      <c r="D2752" s="2" t="s">
        <v>16</v>
      </c>
      <c r="E2752" s="4">
        <f>185.86*(1-Z1%)</f>
        <v>185.86</v>
      </c>
      <c r="F2752" s="2">
        <v>1</v>
      </c>
      <c r="G2752" s="2"/>
    </row>
    <row r="2753" spans="1:26" customHeight="1" ht="36" hidden="true" outlineLevel="4">
      <c r="A2753" s="2" t="s">
        <v>5190</v>
      </c>
      <c r="B2753" s="3" t="s">
        <v>5191</v>
      </c>
      <c r="C2753" s="2"/>
      <c r="D2753" s="2" t="s">
        <v>16</v>
      </c>
      <c r="E2753" s="4">
        <f>185.86*(1-Z1%)</f>
        <v>185.86</v>
      </c>
      <c r="F2753" s="2">
        <v>2</v>
      </c>
      <c r="G2753" s="2"/>
    </row>
    <row r="2754" spans="1:26" customHeight="1" ht="36" hidden="true" outlineLevel="4">
      <c r="A2754" s="2" t="s">
        <v>5192</v>
      </c>
      <c r="B2754" s="3" t="s">
        <v>5193</v>
      </c>
      <c r="C2754" s="2"/>
      <c r="D2754" s="2" t="s">
        <v>16</v>
      </c>
      <c r="E2754" s="4">
        <f>132.08*(1-Z1%)</f>
        <v>132.08</v>
      </c>
      <c r="F2754" s="2">
        <v>2</v>
      </c>
      <c r="G2754" s="2"/>
    </row>
    <row r="2755" spans="1:26" customHeight="1" ht="36" hidden="true" outlineLevel="4">
      <c r="A2755" s="2" t="s">
        <v>5194</v>
      </c>
      <c r="B2755" s="3" t="s">
        <v>5195</v>
      </c>
      <c r="C2755" s="2"/>
      <c r="D2755" s="2" t="s">
        <v>16</v>
      </c>
      <c r="E2755" s="4">
        <f>109.45*(1-Z1%)</f>
        <v>109.45</v>
      </c>
      <c r="F2755" s="2">
        <v>1</v>
      </c>
      <c r="G2755" s="2"/>
    </row>
    <row r="2756" spans="1:26" customHeight="1" ht="35" hidden="true" outlineLevel="4">
      <c r="A2756" s="5" t="s">
        <v>5196</v>
      </c>
      <c r="B2756" s="5"/>
      <c r="C2756" s="5"/>
      <c r="D2756" s="5"/>
      <c r="E2756" s="5"/>
      <c r="F2756" s="5"/>
      <c r="G2756" s="5"/>
    </row>
    <row r="2757" spans="1:26" customHeight="1" ht="18" hidden="true" outlineLevel="4">
      <c r="A2757" s="2" t="s">
        <v>5197</v>
      </c>
      <c r="B2757" s="3" t="s">
        <v>5198</v>
      </c>
      <c r="C2757" s="2"/>
      <c r="D2757" s="2" t="s">
        <v>16</v>
      </c>
      <c r="E2757" s="4">
        <f>602.44*(1-Z1%)</f>
        <v>602.44</v>
      </c>
      <c r="F2757" s="2">
        <v>2</v>
      </c>
      <c r="G2757" s="2"/>
    </row>
    <row r="2758" spans="1:26" customHeight="1" ht="18" hidden="true" outlineLevel="4">
      <c r="A2758" s="2" t="s">
        <v>5199</v>
      </c>
      <c r="B2758" s="3" t="s">
        <v>5200</v>
      </c>
      <c r="C2758" s="2"/>
      <c r="D2758" s="2" t="s">
        <v>16</v>
      </c>
      <c r="E2758" s="4">
        <f>572.13*(1-Z1%)</f>
        <v>572.13</v>
      </c>
      <c r="F2758" s="2">
        <v>1</v>
      </c>
      <c r="G2758" s="2"/>
    </row>
    <row r="2759" spans="1:26" customHeight="1" ht="18" hidden="true" outlineLevel="4">
      <c r="A2759" s="2" t="s">
        <v>5201</v>
      </c>
      <c r="B2759" s="3" t="s">
        <v>5202</v>
      </c>
      <c r="C2759" s="2"/>
      <c r="D2759" s="2" t="s">
        <v>16</v>
      </c>
      <c r="E2759" s="4">
        <f>616.62*(1-Z1%)</f>
        <v>616.62</v>
      </c>
      <c r="F2759" s="2">
        <v>2</v>
      </c>
      <c r="G2759" s="2"/>
    </row>
    <row r="2760" spans="1:26" customHeight="1" ht="18" hidden="true" outlineLevel="4">
      <c r="A2760" s="2" t="s">
        <v>5203</v>
      </c>
      <c r="B2760" s="3" t="s">
        <v>5204</v>
      </c>
      <c r="C2760" s="2"/>
      <c r="D2760" s="2" t="s">
        <v>16</v>
      </c>
      <c r="E2760" s="4">
        <f>616.62*(1-Z1%)</f>
        <v>616.62</v>
      </c>
      <c r="F2760" s="2">
        <v>1</v>
      </c>
      <c r="G2760" s="2"/>
    </row>
    <row r="2761" spans="1:26" customHeight="1" ht="18" hidden="true" outlineLevel="4">
      <c r="A2761" s="2" t="s">
        <v>5205</v>
      </c>
      <c r="B2761" s="3" t="s">
        <v>5206</v>
      </c>
      <c r="C2761" s="2"/>
      <c r="D2761" s="2" t="s">
        <v>16</v>
      </c>
      <c r="E2761" s="4">
        <f>610.77*(1-Z1%)</f>
        <v>610.77</v>
      </c>
      <c r="F2761" s="2">
        <v>1</v>
      </c>
      <c r="G2761" s="2"/>
    </row>
    <row r="2762" spans="1:26" customHeight="1" ht="18" hidden="true" outlineLevel="4">
      <c r="A2762" s="2" t="s">
        <v>5207</v>
      </c>
      <c r="B2762" s="3" t="s">
        <v>5208</v>
      </c>
      <c r="C2762" s="2"/>
      <c r="D2762" s="2" t="s">
        <v>16</v>
      </c>
      <c r="E2762" s="4">
        <f>646.20*(1-Z1%)</f>
        <v>646.2</v>
      </c>
      <c r="F2762" s="2">
        <v>2</v>
      </c>
      <c r="G2762" s="2"/>
    </row>
    <row r="2763" spans="1:26" customHeight="1" ht="18" hidden="true" outlineLevel="4">
      <c r="A2763" s="2" t="s">
        <v>5209</v>
      </c>
      <c r="B2763" s="3" t="s">
        <v>5210</v>
      </c>
      <c r="C2763" s="2"/>
      <c r="D2763" s="2" t="s">
        <v>16</v>
      </c>
      <c r="E2763" s="4">
        <f>587.14*(1-Z1%)</f>
        <v>587.14</v>
      </c>
      <c r="F2763" s="2">
        <v>1</v>
      </c>
      <c r="G2763" s="2"/>
    </row>
    <row r="2764" spans="1:26" customHeight="1" ht="18" hidden="true" outlineLevel="4">
      <c r="A2764" s="2" t="s">
        <v>5211</v>
      </c>
      <c r="B2764" s="3" t="s">
        <v>5212</v>
      </c>
      <c r="C2764" s="2"/>
      <c r="D2764" s="2" t="s">
        <v>16</v>
      </c>
      <c r="E2764" s="4">
        <f>626.04*(1-Z1%)</f>
        <v>626.04</v>
      </c>
      <c r="F2764" s="2">
        <v>3</v>
      </c>
      <c r="G2764" s="2"/>
    </row>
    <row r="2765" spans="1:26" customHeight="1" ht="18" hidden="true" outlineLevel="4">
      <c r="A2765" s="2" t="s">
        <v>5213</v>
      </c>
      <c r="B2765" s="3" t="s">
        <v>5214</v>
      </c>
      <c r="C2765" s="2"/>
      <c r="D2765" s="2" t="s">
        <v>16</v>
      </c>
      <c r="E2765" s="4">
        <f>618.98*(1-Z1%)</f>
        <v>618.98</v>
      </c>
      <c r="F2765" s="2">
        <v>1</v>
      </c>
      <c r="G2765" s="2"/>
    </row>
    <row r="2766" spans="1:26" customHeight="1" ht="18" hidden="true" outlineLevel="4">
      <c r="A2766" s="2" t="s">
        <v>5215</v>
      </c>
      <c r="B2766" s="3" t="s">
        <v>5216</v>
      </c>
      <c r="C2766" s="2"/>
      <c r="D2766" s="2" t="s">
        <v>16</v>
      </c>
      <c r="E2766" s="4">
        <f>618.98*(1-Z1%)</f>
        <v>618.98</v>
      </c>
      <c r="F2766" s="2">
        <v>1</v>
      </c>
      <c r="G2766" s="2"/>
    </row>
    <row r="2767" spans="1:26" customHeight="1" ht="18" hidden="true" outlineLevel="4">
      <c r="A2767" s="2" t="s">
        <v>5217</v>
      </c>
      <c r="B2767" s="3" t="s">
        <v>5218</v>
      </c>
      <c r="C2767" s="2"/>
      <c r="D2767" s="2" t="s">
        <v>16</v>
      </c>
      <c r="E2767" s="4">
        <f>910.27*(1-Z1%)</f>
        <v>910.27</v>
      </c>
      <c r="F2767" s="2">
        <v>1</v>
      </c>
      <c r="G2767" s="2"/>
    </row>
    <row r="2768" spans="1:26" customHeight="1" ht="18" hidden="true" outlineLevel="4">
      <c r="A2768" s="2" t="s">
        <v>5219</v>
      </c>
      <c r="B2768" s="3" t="s">
        <v>5220</v>
      </c>
      <c r="C2768" s="2"/>
      <c r="D2768" s="2" t="s">
        <v>16</v>
      </c>
      <c r="E2768" s="4">
        <f>700.54*(1-Z1%)</f>
        <v>700.54</v>
      </c>
      <c r="F2768" s="2">
        <v>1</v>
      </c>
      <c r="G2768" s="2"/>
    </row>
    <row r="2769" spans="1:26" customHeight="1" ht="18" hidden="true" outlineLevel="4">
      <c r="A2769" s="2" t="s">
        <v>5221</v>
      </c>
      <c r="B2769" s="3" t="s">
        <v>5222</v>
      </c>
      <c r="C2769" s="2"/>
      <c r="D2769" s="2" t="s">
        <v>16</v>
      </c>
      <c r="E2769" s="4">
        <f>665.10*(1-Z1%)</f>
        <v>665.1</v>
      </c>
      <c r="F2769" s="2">
        <v>1</v>
      </c>
      <c r="G2769" s="2"/>
    </row>
    <row r="2770" spans="1:26" customHeight="1" ht="18" hidden="true" outlineLevel="4">
      <c r="A2770" s="2" t="s">
        <v>5223</v>
      </c>
      <c r="B2770" s="3" t="s">
        <v>5224</v>
      </c>
      <c r="C2770" s="2"/>
      <c r="D2770" s="2" t="s">
        <v>16</v>
      </c>
      <c r="E2770" s="4">
        <f>587.14*(1-Z1%)</f>
        <v>587.14</v>
      </c>
      <c r="F2770" s="2">
        <v>1</v>
      </c>
      <c r="G2770" s="2"/>
    </row>
    <row r="2771" spans="1:26" customHeight="1" ht="18" hidden="true" outlineLevel="4">
      <c r="A2771" s="2" t="s">
        <v>5225</v>
      </c>
      <c r="B2771" s="3" t="s">
        <v>5226</v>
      </c>
      <c r="C2771" s="2"/>
      <c r="D2771" s="2" t="s">
        <v>16</v>
      </c>
      <c r="E2771" s="4">
        <f>686.37*(1-Z1%)</f>
        <v>686.37</v>
      </c>
      <c r="F2771" s="2">
        <v>1</v>
      </c>
      <c r="G2771" s="2"/>
    </row>
    <row r="2772" spans="1:26" customHeight="1" ht="18" hidden="true" outlineLevel="4">
      <c r="A2772" s="2" t="s">
        <v>5227</v>
      </c>
      <c r="B2772" s="3" t="s">
        <v>5228</v>
      </c>
      <c r="C2772" s="2"/>
      <c r="D2772" s="2" t="s">
        <v>16</v>
      </c>
      <c r="E2772" s="4">
        <f>539.06*(1-Z1%)</f>
        <v>539.06</v>
      </c>
      <c r="F2772" s="2">
        <v>1</v>
      </c>
      <c r="G2772" s="2"/>
    </row>
    <row r="2773" spans="1:26" customHeight="1" ht="18" hidden="true" outlineLevel="4">
      <c r="A2773" s="2" t="s">
        <v>5229</v>
      </c>
      <c r="B2773" s="3" t="s">
        <v>5230</v>
      </c>
      <c r="C2773" s="2"/>
      <c r="D2773" s="2" t="s">
        <v>16</v>
      </c>
      <c r="E2773" s="4">
        <f>678.04*(1-Z1%)</f>
        <v>678.04</v>
      </c>
      <c r="F2773" s="2">
        <v>1</v>
      </c>
      <c r="G2773" s="2"/>
    </row>
    <row r="2774" spans="1:26" customHeight="1" ht="18" hidden="true" outlineLevel="4">
      <c r="A2774" s="2" t="s">
        <v>5231</v>
      </c>
      <c r="B2774" s="3" t="s">
        <v>5232</v>
      </c>
      <c r="C2774" s="2"/>
      <c r="D2774" s="2" t="s">
        <v>16</v>
      </c>
      <c r="E2774" s="4">
        <f>881.22*(1-Z1%)</f>
        <v>881.22</v>
      </c>
      <c r="F2774" s="2">
        <v>3</v>
      </c>
      <c r="G2774" s="2"/>
    </row>
    <row r="2775" spans="1:26" customHeight="1" ht="18" hidden="true" outlineLevel="4">
      <c r="A2775" s="2" t="s">
        <v>5233</v>
      </c>
      <c r="B2775" s="3" t="s">
        <v>5234</v>
      </c>
      <c r="C2775" s="2"/>
      <c r="D2775" s="2" t="s">
        <v>16</v>
      </c>
      <c r="E2775" s="4">
        <f>911.93*(1-Z1%)</f>
        <v>911.93</v>
      </c>
      <c r="F2775" s="2">
        <v>2</v>
      </c>
      <c r="G2775" s="2"/>
    </row>
    <row r="2776" spans="1:26" customHeight="1" ht="18" hidden="true" outlineLevel="4">
      <c r="A2776" s="2" t="s">
        <v>5235</v>
      </c>
      <c r="B2776" s="3" t="s">
        <v>5236</v>
      </c>
      <c r="C2776" s="2"/>
      <c r="D2776" s="2" t="s">
        <v>16</v>
      </c>
      <c r="E2776" s="4">
        <f>754.88*(1-Z1%)</f>
        <v>754.88</v>
      </c>
      <c r="F2776" s="2">
        <v>2</v>
      </c>
      <c r="G2776" s="2"/>
    </row>
    <row r="2777" spans="1:26" customHeight="1" ht="36" hidden="true" outlineLevel="4">
      <c r="A2777" s="2" t="s">
        <v>5237</v>
      </c>
      <c r="B2777" s="3" t="s">
        <v>5238</v>
      </c>
      <c r="C2777" s="2"/>
      <c r="D2777" s="2" t="s">
        <v>16</v>
      </c>
      <c r="E2777" s="4">
        <f>422.73*(1-Z1%)</f>
        <v>422.73</v>
      </c>
      <c r="F2777" s="2">
        <v>2</v>
      </c>
      <c r="G2777" s="2"/>
    </row>
    <row r="2778" spans="1:26" customHeight="1" ht="35" hidden="true" outlineLevel="2">
      <c r="A2778" s="5" t="s">
        <v>5239</v>
      </c>
      <c r="B2778" s="5"/>
      <c r="C2778" s="5"/>
      <c r="D2778" s="5"/>
      <c r="E2778" s="5"/>
      <c r="F2778" s="5"/>
      <c r="G2778" s="5"/>
    </row>
    <row r="2779" spans="1:26" customHeight="1" ht="35" hidden="true" outlineLevel="3">
      <c r="A2779" s="5" t="s">
        <v>5240</v>
      </c>
      <c r="B2779" s="5"/>
      <c r="C2779" s="5"/>
      <c r="D2779" s="5"/>
      <c r="E2779" s="5"/>
      <c r="F2779" s="5"/>
      <c r="G2779" s="5"/>
    </row>
    <row r="2780" spans="1:26" customHeight="1" ht="18" hidden="true" outlineLevel="3">
      <c r="A2780" s="2" t="s">
        <v>5241</v>
      </c>
      <c r="B2780" s="3" t="s">
        <v>5242</v>
      </c>
      <c r="C2780" s="2"/>
      <c r="D2780" s="2" t="s">
        <v>16</v>
      </c>
      <c r="E2780" s="4">
        <f>170.47*(1-Z1%)</f>
        <v>170.47</v>
      </c>
      <c r="F2780" s="2">
        <v>16</v>
      </c>
      <c r="G2780" s="2"/>
    </row>
    <row r="2781" spans="1:26" customHeight="1" ht="18" hidden="true" outlineLevel="3">
      <c r="A2781" s="2" t="s">
        <v>5243</v>
      </c>
      <c r="B2781" s="3" t="s">
        <v>5244</v>
      </c>
      <c r="C2781" s="2"/>
      <c r="D2781" s="2" t="s">
        <v>16</v>
      </c>
      <c r="E2781" s="4">
        <f>97.25*(1-Z1%)</f>
        <v>97.25</v>
      </c>
      <c r="F2781" s="2">
        <v>22</v>
      </c>
      <c r="G2781" s="2"/>
    </row>
    <row r="2782" spans="1:26" customHeight="1" ht="18" hidden="true" outlineLevel="3">
      <c r="A2782" s="2" t="s">
        <v>5245</v>
      </c>
      <c r="B2782" s="3" t="s">
        <v>5246</v>
      </c>
      <c r="C2782" s="2"/>
      <c r="D2782" s="2" t="s">
        <v>16</v>
      </c>
      <c r="E2782" s="4">
        <f>88.24*(1-Z1%)</f>
        <v>88.24</v>
      </c>
      <c r="F2782" s="2">
        <v>13</v>
      </c>
      <c r="G2782" s="2"/>
    </row>
    <row r="2783" spans="1:26" customHeight="1" ht="18" hidden="true" outlineLevel="3">
      <c r="A2783" s="2" t="s">
        <v>5247</v>
      </c>
      <c r="B2783" s="3" t="s">
        <v>5248</v>
      </c>
      <c r="C2783" s="2"/>
      <c r="D2783" s="2" t="s">
        <v>16</v>
      </c>
      <c r="E2783" s="4">
        <f>91.99*(1-Z1%)</f>
        <v>91.99</v>
      </c>
      <c r="F2783" s="2">
        <v>13</v>
      </c>
      <c r="G2783" s="2"/>
    </row>
    <row r="2784" spans="1:26" customHeight="1" ht="18" hidden="true" outlineLevel="3">
      <c r="A2784" s="2" t="s">
        <v>5249</v>
      </c>
      <c r="B2784" s="3" t="s">
        <v>5250</v>
      </c>
      <c r="C2784" s="2"/>
      <c r="D2784" s="2" t="s">
        <v>16</v>
      </c>
      <c r="E2784" s="4">
        <f>124.99*(1-Z1%)</f>
        <v>124.99</v>
      </c>
      <c r="F2784" s="2">
        <v>1</v>
      </c>
      <c r="G2784" s="2"/>
    </row>
    <row r="2785" spans="1:26" customHeight="1" ht="35" hidden="true" outlineLevel="3">
      <c r="A2785" s="5" t="s">
        <v>5251</v>
      </c>
      <c r="B2785" s="5"/>
      <c r="C2785" s="5"/>
      <c r="D2785" s="5"/>
      <c r="E2785" s="5"/>
      <c r="F2785" s="5"/>
      <c r="G2785" s="5"/>
    </row>
    <row r="2786" spans="1:26" customHeight="1" ht="18" hidden="true" outlineLevel="3">
      <c r="A2786" s="2" t="s">
        <v>5252</v>
      </c>
      <c r="B2786" s="3" t="s">
        <v>5253</v>
      </c>
      <c r="C2786" s="2"/>
      <c r="D2786" s="2" t="s">
        <v>16</v>
      </c>
      <c r="E2786" s="4">
        <f>78.77*(1-Z1%)</f>
        <v>78.77</v>
      </c>
      <c r="F2786" s="2">
        <v>3</v>
      </c>
      <c r="G2786" s="2"/>
    </row>
    <row r="2787" spans="1:26" customHeight="1" ht="18" hidden="true" outlineLevel="3">
      <c r="A2787" s="2" t="s">
        <v>5254</v>
      </c>
      <c r="B2787" s="3" t="s">
        <v>5255</v>
      </c>
      <c r="C2787" s="2"/>
      <c r="D2787" s="2" t="s">
        <v>16</v>
      </c>
      <c r="E2787" s="4">
        <f>56.43*(1-Z1%)</f>
        <v>56.43</v>
      </c>
      <c r="F2787" s="2">
        <v>1</v>
      </c>
      <c r="G2787" s="2"/>
    </row>
    <row r="2788" spans="1:26" customHeight="1" ht="18" hidden="true" outlineLevel="3">
      <c r="A2788" s="2" t="s">
        <v>5256</v>
      </c>
      <c r="B2788" s="3" t="s">
        <v>5257</v>
      </c>
      <c r="C2788" s="2"/>
      <c r="D2788" s="2" t="s">
        <v>16</v>
      </c>
      <c r="E2788" s="4">
        <f>208.28*(1-Z1%)</f>
        <v>208.28</v>
      </c>
      <c r="F2788" s="2">
        <v>5</v>
      </c>
      <c r="G2788" s="2"/>
    </row>
    <row r="2789" spans="1:26" customHeight="1" ht="18" hidden="true" outlineLevel="3">
      <c r="A2789" s="2" t="s">
        <v>5258</v>
      </c>
      <c r="B2789" s="3" t="s">
        <v>5259</v>
      </c>
      <c r="C2789" s="2"/>
      <c r="D2789" s="2" t="s">
        <v>16</v>
      </c>
      <c r="E2789" s="4">
        <f>208.28*(1-Z1%)</f>
        <v>208.28</v>
      </c>
      <c r="F2789" s="2">
        <v>3</v>
      </c>
      <c r="G2789" s="2"/>
    </row>
    <row r="2790" spans="1:26" customHeight="1" ht="18" hidden="true" outlineLevel="3">
      <c r="A2790" s="2" t="s">
        <v>5260</v>
      </c>
      <c r="B2790" s="3" t="s">
        <v>5261</v>
      </c>
      <c r="C2790" s="2"/>
      <c r="D2790" s="2" t="s">
        <v>16</v>
      </c>
      <c r="E2790" s="4">
        <f>204.00*(1-Z1%)</f>
        <v>204</v>
      </c>
      <c r="F2790" s="2">
        <v>1</v>
      </c>
      <c r="G2790" s="2"/>
    </row>
    <row r="2791" spans="1:26" customHeight="1" ht="18" hidden="true" outlineLevel="3">
      <c r="A2791" s="2" t="s">
        <v>5262</v>
      </c>
      <c r="B2791" s="3" t="s">
        <v>5263</v>
      </c>
      <c r="C2791" s="2"/>
      <c r="D2791" s="2" t="s">
        <v>16</v>
      </c>
      <c r="E2791" s="4">
        <f>133.97*(1-Z1%)</f>
        <v>133.97</v>
      </c>
      <c r="F2791" s="2">
        <v>2</v>
      </c>
      <c r="G2791" s="2"/>
    </row>
    <row r="2792" spans="1:26" customHeight="1" ht="18" hidden="true" outlineLevel="3">
      <c r="A2792" s="2" t="s">
        <v>5264</v>
      </c>
      <c r="B2792" s="3" t="s">
        <v>5265</v>
      </c>
      <c r="C2792" s="2"/>
      <c r="D2792" s="2" t="s">
        <v>16</v>
      </c>
      <c r="E2792" s="4">
        <f>112.86*(1-Z1%)</f>
        <v>112.86</v>
      </c>
      <c r="F2792" s="2">
        <v>5</v>
      </c>
      <c r="G2792" s="2"/>
    </row>
    <row r="2793" spans="1:26" customHeight="1" ht="18" hidden="true" outlineLevel="3">
      <c r="A2793" s="2" t="s">
        <v>5266</v>
      </c>
      <c r="B2793" s="3" t="s">
        <v>5267</v>
      </c>
      <c r="C2793" s="2"/>
      <c r="D2793" s="2" t="s">
        <v>16</v>
      </c>
      <c r="E2793" s="4">
        <f>148.72*(1-Z1%)</f>
        <v>148.72</v>
      </c>
      <c r="F2793" s="2">
        <v>6</v>
      </c>
      <c r="G2793" s="2"/>
    </row>
    <row r="2794" spans="1:26" customHeight="1" ht="18" hidden="true" outlineLevel="3">
      <c r="A2794" s="2" t="s">
        <v>5268</v>
      </c>
      <c r="B2794" s="3" t="s">
        <v>5269</v>
      </c>
      <c r="C2794" s="2"/>
      <c r="D2794" s="2" t="s">
        <v>16</v>
      </c>
      <c r="E2794" s="4">
        <f>147.49*(1-Z1%)</f>
        <v>147.49</v>
      </c>
      <c r="F2794" s="2">
        <v>8</v>
      </c>
      <c r="G2794" s="2"/>
    </row>
    <row r="2795" spans="1:26" customHeight="1" ht="18" hidden="true" outlineLevel="3">
      <c r="A2795" s="2" t="s">
        <v>5270</v>
      </c>
      <c r="B2795" s="3" t="s">
        <v>5271</v>
      </c>
      <c r="C2795" s="2"/>
      <c r="D2795" s="2" t="s">
        <v>16</v>
      </c>
      <c r="E2795" s="4">
        <f>165.02*(1-Z1%)</f>
        <v>165.02</v>
      </c>
      <c r="F2795" s="2">
        <v>3</v>
      </c>
      <c r="G2795" s="2"/>
    </row>
    <row r="2796" spans="1:26" customHeight="1" ht="18" hidden="true" outlineLevel="3">
      <c r="A2796" s="2" t="s">
        <v>5272</v>
      </c>
      <c r="B2796" s="3" t="s">
        <v>5273</v>
      </c>
      <c r="C2796" s="2"/>
      <c r="D2796" s="2" t="s">
        <v>16</v>
      </c>
      <c r="E2796" s="4">
        <f>196.02*(1-Z1%)</f>
        <v>196.02</v>
      </c>
      <c r="F2796" s="2">
        <v>3</v>
      </c>
      <c r="G2796" s="2"/>
    </row>
    <row r="2797" spans="1:26" customHeight="1" ht="35" hidden="true" outlineLevel="3">
      <c r="A2797" s="5" t="s">
        <v>5274</v>
      </c>
      <c r="B2797" s="5"/>
      <c r="C2797" s="5"/>
      <c r="D2797" s="5"/>
      <c r="E2797" s="5"/>
      <c r="F2797" s="5"/>
      <c r="G2797" s="5"/>
    </row>
    <row r="2798" spans="1:26" customHeight="1" ht="18" hidden="true" outlineLevel="3">
      <c r="A2798" s="2" t="s">
        <v>5275</v>
      </c>
      <c r="B2798" s="3" t="s">
        <v>5276</v>
      </c>
      <c r="C2798" s="2"/>
      <c r="D2798" s="2" t="s">
        <v>16</v>
      </c>
      <c r="E2798" s="4">
        <f>23.52*(1-Z1%)</f>
        <v>23.52</v>
      </c>
      <c r="F2798" s="2">
        <v>8</v>
      </c>
      <c r="G2798" s="2"/>
    </row>
    <row r="2799" spans="1:26" customHeight="1" ht="36" hidden="true" outlineLevel="3">
      <c r="A2799" s="2" t="s">
        <v>5277</v>
      </c>
      <c r="B2799" s="3" t="s">
        <v>5278</v>
      </c>
      <c r="C2799" s="2"/>
      <c r="D2799" s="2" t="s">
        <v>16</v>
      </c>
      <c r="E2799" s="4">
        <f>19.99*(1-Z1%)</f>
        <v>19.99</v>
      </c>
      <c r="F2799" s="2">
        <v>6</v>
      </c>
      <c r="G2799" s="2"/>
    </row>
    <row r="2800" spans="1:26" customHeight="1" ht="35" hidden="true" outlineLevel="3">
      <c r="A2800" s="5" t="s">
        <v>5279</v>
      </c>
      <c r="B2800" s="5"/>
      <c r="C2800" s="5"/>
      <c r="D2800" s="5"/>
      <c r="E2800" s="5"/>
      <c r="F2800" s="5"/>
      <c r="G2800" s="5"/>
    </row>
    <row r="2801" spans="1:26" customHeight="1" ht="36" hidden="true" outlineLevel="3">
      <c r="A2801" s="2" t="s">
        <v>5280</v>
      </c>
      <c r="B2801" s="3" t="s">
        <v>5281</v>
      </c>
      <c r="C2801" s="2"/>
      <c r="D2801" s="2" t="s">
        <v>16</v>
      </c>
      <c r="E2801" s="4">
        <f>808.88*(1-Z1%)</f>
        <v>808.88</v>
      </c>
      <c r="F2801" s="2">
        <v>1</v>
      </c>
      <c r="G2801" s="2"/>
    </row>
    <row r="2802" spans="1:26" customHeight="1" ht="36" hidden="true" outlineLevel="3">
      <c r="A2802" s="2" t="s">
        <v>5282</v>
      </c>
      <c r="B2802" s="3" t="s">
        <v>5283</v>
      </c>
      <c r="C2802" s="2"/>
      <c r="D2802" s="2" t="s">
        <v>16</v>
      </c>
      <c r="E2802" s="4">
        <f>789.28*(1-Z1%)</f>
        <v>789.28</v>
      </c>
      <c r="F2802" s="2">
        <v>1</v>
      </c>
      <c r="G2802" s="2"/>
    </row>
    <row r="2803" spans="1:26" customHeight="1" ht="35" hidden="true" outlineLevel="3">
      <c r="A2803" s="5" t="s">
        <v>5284</v>
      </c>
      <c r="B2803" s="5"/>
      <c r="C2803" s="5"/>
      <c r="D2803" s="5"/>
      <c r="E2803" s="5"/>
      <c r="F2803" s="5"/>
      <c r="G2803" s="5"/>
    </row>
    <row r="2804" spans="1:26" customHeight="1" ht="36" hidden="true" outlineLevel="3">
      <c r="A2804" s="2" t="s">
        <v>5285</v>
      </c>
      <c r="B2804" s="3" t="s">
        <v>5286</v>
      </c>
      <c r="C2804" s="2"/>
      <c r="D2804" s="2" t="s">
        <v>16</v>
      </c>
      <c r="E2804" s="4">
        <f>495.85*(1-Z1%)</f>
        <v>495.85</v>
      </c>
      <c r="F2804" s="2">
        <v>3</v>
      </c>
      <c r="G2804" s="2"/>
    </row>
    <row r="2805" spans="1:26" customHeight="1" ht="36" hidden="true" outlineLevel="3">
      <c r="A2805" s="2" t="s">
        <v>5287</v>
      </c>
      <c r="B2805" s="3" t="s">
        <v>5288</v>
      </c>
      <c r="C2805" s="2"/>
      <c r="D2805" s="2" t="s">
        <v>16</v>
      </c>
      <c r="E2805" s="4">
        <f>476.18*(1-Z1%)</f>
        <v>476.18</v>
      </c>
      <c r="F2805" s="2">
        <v>8</v>
      </c>
      <c r="G2805" s="2"/>
    </row>
    <row r="2806" spans="1:26" customHeight="1" ht="36" hidden="true" outlineLevel="3">
      <c r="A2806" s="2" t="s">
        <v>5289</v>
      </c>
      <c r="B2806" s="3" t="s">
        <v>5290</v>
      </c>
      <c r="C2806" s="2"/>
      <c r="D2806" s="2" t="s">
        <v>16</v>
      </c>
      <c r="E2806" s="4">
        <f>612.08*(1-Z1%)</f>
        <v>612.08</v>
      </c>
      <c r="F2806" s="2">
        <v>4</v>
      </c>
      <c r="G2806" s="2"/>
    </row>
    <row r="2807" spans="1:26" customHeight="1" ht="36" hidden="true" outlineLevel="3">
      <c r="A2807" s="2" t="s">
        <v>5291</v>
      </c>
      <c r="B2807" s="3" t="s">
        <v>5292</v>
      </c>
      <c r="C2807" s="2"/>
      <c r="D2807" s="2" t="s">
        <v>16</v>
      </c>
      <c r="E2807" s="4">
        <f>612.08*(1-Z1%)</f>
        <v>612.08</v>
      </c>
      <c r="F2807" s="2">
        <v>4</v>
      </c>
      <c r="G2807" s="2"/>
    </row>
    <row r="2808" spans="1:26" customHeight="1" ht="36" hidden="true" outlineLevel="3">
      <c r="A2808" s="2" t="s">
        <v>5293</v>
      </c>
      <c r="B2808" s="3" t="s">
        <v>5294</v>
      </c>
      <c r="C2808" s="2"/>
      <c r="D2808" s="2" t="s">
        <v>16</v>
      </c>
      <c r="E2808" s="4">
        <f>1063.10*(1-Z1%)</f>
        <v>1063.1</v>
      </c>
      <c r="F2808" s="2">
        <v>8</v>
      </c>
      <c r="G2808" s="2"/>
    </row>
    <row r="2809" spans="1:26" customHeight="1" ht="36" hidden="true" outlineLevel="3">
      <c r="A2809" s="2" t="s">
        <v>5295</v>
      </c>
      <c r="B2809" s="3" t="s">
        <v>5296</v>
      </c>
      <c r="C2809" s="2"/>
      <c r="D2809" s="2" t="s">
        <v>16</v>
      </c>
      <c r="E2809" s="4">
        <f>1193.63*(1-Z1%)</f>
        <v>1193.63</v>
      </c>
      <c r="F2809" s="2">
        <v>1</v>
      </c>
      <c r="G2809" s="2"/>
    </row>
    <row r="2810" spans="1:26" customHeight="1" ht="36" hidden="true" outlineLevel="3">
      <c r="A2810" s="2" t="s">
        <v>5297</v>
      </c>
      <c r="B2810" s="3" t="s">
        <v>5298</v>
      </c>
      <c r="C2810" s="2"/>
      <c r="D2810" s="2" t="s">
        <v>16</v>
      </c>
      <c r="E2810" s="4">
        <f>366.80*(1-Z1%)</f>
        <v>366.8</v>
      </c>
      <c r="F2810" s="2">
        <v>1</v>
      </c>
      <c r="G2810" s="2"/>
    </row>
    <row r="2811" spans="1:26" customHeight="1" ht="36" hidden="true" outlineLevel="3">
      <c r="A2811" s="2" t="s">
        <v>5299</v>
      </c>
      <c r="B2811" s="3" t="s">
        <v>5300</v>
      </c>
      <c r="C2811" s="2"/>
      <c r="D2811" s="2" t="s">
        <v>16</v>
      </c>
      <c r="E2811" s="4">
        <f>734.77*(1-Z1%)</f>
        <v>734.77</v>
      </c>
      <c r="F2811" s="2">
        <v>4</v>
      </c>
      <c r="G2811" s="2"/>
    </row>
    <row r="2812" spans="1:26" customHeight="1" ht="36" hidden="true" outlineLevel="3">
      <c r="A2812" s="2" t="s">
        <v>5301</v>
      </c>
      <c r="B2812" s="3" t="s">
        <v>5302</v>
      </c>
      <c r="C2812" s="2"/>
      <c r="D2812" s="2" t="s">
        <v>16</v>
      </c>
      <c r="E2812" s="4">
        <f>612.08*(1-Z1%)</f>
        <v>612.08</v>
      </c>
      <c r="F2812" s="2">
        <v>3</v>
      </c>
      <c r="G2812" s="2"/>
    </row>
    <row r="2813" spans="1:26" customHeight="1" ht="18" hidden="true" outlineLevel="3">
      <c r="A2813" s="2" t="s">
        <v>5303</v>
      </c>
      <c r="B2813" s="3" t="s">
        <v>5304</v>
      </c>
      <c r="C2813" s="2"/>
      <c r="D2813" s="2" t="s">
        <v>16</v>
      </c>
      <c r="E2813" s="4">
        <f>511.40*(1-Z1%)</f>
        <v>511.4</v>
      </c>
      <c r="F2813" s="2">
        <v>2</v>
      </c>
      <c r="G2813" s="2"/>
    </row>
    <row r="2814" spans="1:26" customHeight="1" ht="36" hidden="true" outlineLevel="3">
      <c r="A2814" s="2" t="s">
        <v>5305</v>
      </c>
      <c r="B2814" s="3" t="s">
        <v>5306</v>
      </c>
      <c r="C2814" s="2"/>
      <c r="D2814" s="2" t="s">
        <v>16</v>
      </c>
      <c r="E2814" s="4">
        <f>999.29*(1-Z1%)</f>
        <v>999.29</v>
      </c>
      <c r="F2814" s="2">
        <v>3</v>
      </c>
      <c r="G2814" s="2"/>
    </row>
    <row r="2815" spans="1:26" customHeight="1" ht="35" hidden="true" outlineLevel="2">
      <c r="A2815" s="5" t="s">
        <v>5307</v>
      </c>
      <c r="B2815" s="5"/>
      <c r="C2815" s="5"/>
      <c r="D2815" s="5"/>
      <c r="E2815" s="5"/>
      <c r="F2815" s="5"/>
      <c r="G2815" s="5"/>
    </row>
    <row r="2816" spans="1:26" customHeight="1" ht="35" hidden="true" outlineLevel="3">
      <c r="A2816" s="5" t="s">
        <v>5308</v>
      </c>
      <c r="B2816" s="5"/>
      <c r="C2816" s="5"/>
      <c r="D2816" s="5"/>
      <c r="E2816" s="5"/>
      <c r="F2816" s="5"/>
      <c r="G2816" s="5"/>
    </row>
    <row r="2817" spans="1:26" customHeight="1" ht="18" hidden="true" outlineLevel="3">
      <c r="A2817" s="2" t="s">
        <v>5309</v>
      </c>
      <c r="B2817" s="3" t="s">
        <v>5310</v>
      </c>
      <c r="C2817" s="2"/>
      <c r="D2817" s="2" t="s">
        <v>16</v>
      </c>
      <c r="E2817" s="4">
        <f>851.74*(1-Z1%)</f>
        <v>851.74</v>
      </c>
      <c r="F2817" s="2">
        <v>1</v>
      </c>
      <c r="G2817" s="2"/>
    </row>
    <row r="2818" spans="1:26" customHeight="1" ht="35" hidden="true" outlineLevel="2">
      <c r="A2818" s="5" t="s">
        <v>5311</v>
      </c>
      <c r="B2818" s="5"/>
      <c r="C2818" s="5"/>
      <c r="D2818" s="5"/>
      <c r="E2818" s="5"/>
      <c r="F2818" s="5"/>
      <c r="G2818" s="5"/>
    </row>
    <row r="2819" spans="1:26" customHeight="1" ht="36" hidden="true" outlineLevel="2">
      <c r="A2819" s="2" t="s">
        <v>5312</v>
      </c>
      <c r="B2819" s="3" t="s">
        <v>5313</v>
      </c>
      <c r="C2819" s="2"/>
      <c r="D2819" s="2" t="s">
        <v>16</v>
      </c>
      <c r="E2819" s="4">
        <f>182.22*(1-Z1%)</f>
        <v>182.22</v>
      </c>
      <c r="F2819" s="2">
        <v>2</v>
      </c>
      <c r="G2819" s="2"/>
    </row>
    <row r="2820" spans="1:26" customHeight="1" ht="36" hidden="true" outlineLevel="2">
      <c r="A2820" s="2" t="s">
        <v>5314</v>
      </c>
      <c r="B2820" s="3" t="s">
        <v>5315</v>
      </c>
      <c r="C2820" s="2"/>
      <c r="D2820" s="2" t="s">
        <v>16</v>
      </c>
      <c r="E2820" s="4">
        <f>104.63*(1-Z1%)</f>
        <v>104.63</v>
      </c>
      <c r="F2820" s="2">
        <v>2</v>
      </c>
      <c r="G2820" s="2"/>
    </row>
    <row r="2821" spans="1:26" customHeight="1" ht="36" hidden="true" outlineLevel="2">
      <c r="A2821" s="2" t="s">
        <v>5316</v>
      </c>
      <c r="B2821" s="3" t="s">
        <v>5317</v>
      </c>
      <c r="C2821" s="2"/>
      <c r="D2821" s="2" t="s">
        <v>16</v>
      </c>
      <c r="E2821" s="4">
        <f>135.20*(1-Z1%)</f>
        <v>135.2</v>
      </c>
      <c r="F2821" s="2">
        <v>2</v>
      </c>
      <c r="G2821" s="2"/>
    </row>
    <row r="2822" spans="1:26" customHeight="1" ht="36" hidden="true" outlineLevel="2">
      <c r="A2822" s="2" t="s">
        <v>5318</v>
      </c>
      <c r="B2822" s="3" t="s">
        <v>5319</v>
      </c>
      <c r="C2822" s="2"/>
      <c r="D2822" s="2" t="s">
        <v>16</v>
      </c>
      <c r="E2822" s="4">
        <f>146.95*(1-Z1%)</f>
        <v>146.95</v>
      </c>
      <c r="F2822" s="2">
        <v>2</v>
      </c>
      <c r="G2822" s="2"/>
    </row>
    <row r="2823" spans="1:26" customHeight="1" ht="36" hidden="true" outlineLevel="2">
      <c r="A2823" s="2" t="s">
        <v>5320</v>
      </c>
      <c r="B2823" s="3" t="s">
        <v>5321</v>
      </c>
      <c r="C2823" s="2"/>
      <c r="D2823" s="2" t="s">
        <v>16</v>
      </c>
      <c r="E2823" s="4">
        <f>241.00*(1-Z1%)</f>
        <v>241</v>
      </c>
      <c r="F2823" s="2">
        <v>5</v>
      </c>
      <c r="G2823" s="2"/>
    </row>
    <row r="2824" spans="1:26" customHeight="1" ht="36" hidden="true" outlineLevel="2">
      <c r="A2824" s="2" t="s">
        <v>5322</v>
      </c>
      <c r="B2824" s="3" t="s">
        <v>5323</v>
      </c>
      <c r="C2824" s="2"/>
      <c r="D2824" s="2" t="s">
        <v>16</v>
      </c>
      <c r="E2824" s="4">
        <f>123.44*(1-Z1%)</f>
        <v>123.44</v>
      </c>
      <c r="F2824" s="2">
        <v>4</v>
      </c>
      <c r="G2824" s="2"/>
    </row>
    <row r="2825" spans="1:26" customHeight="1" ht="36" hidden="true" outlineLevel="2">
      <c r="A2825" s="2" t="s">
        <v>5324</v>
      </c>
      <c r="B2825" s="3" t="s">
        <v>5325</v>
      </c>
      <c r="C2825" s="2"/>
      <c r="D2825" s="2" t="s">
        <v>16</v>
      </c>
      <c r="E2825" s="4">
        <f>99.93*(1-Z1%)</f>
        <v>99.93</v>
      </c>
      <c r="F2825" s="2">
        <v>5</v>
      </c>
      <c r="G2825" s="2"/>
    </row>
    <row r="2826" spans="1:26" customHeight="1" ht="36" hidden="true" outlineLevel="2">
      <c r="A2826" s="2" t="s">
        <v>5326</v>
      </c>
      <c r="B2826" s="3" t="s">
        <v>5327</v>
      </c>
      <c r="C2826" s="2"/>
      <c r="D2826" s="2" t="s">
        <v>16</v>
      </c>
      <c r="E2826" s="4">
        <f>109.33*(1-Z1%)</f>
        <v>109.33</v>
      </c>
      <c r="F2826" s="2">
        <v>3</v>
      </c>
      <c r="G2826" s="2"/>
    </row>
    <row r="2827" spans="1:26" customHeight="1" ht="18" hidden="true" outlineLevel="2">
      <c r="A2827" s="2" t="s">
        <v>5328</v>
      </c>
      <c r="B2827" s="3" t="s">
        <v>5329</v>
      </c>
      <c r="C2827" s="2"/>
      <c r="D2827" s="2" t="s">
        <v>16</v>
      </c>
      <c r="E2827" s="4">
        <f>441.77*(1-Z1%)</f>
        <v>441.77</v>
      </c>
      <c r="F2827" s="2">
        <v>3</v>
      </c>
      <c r="G2827" s="2"/>
    </row>
    <row r="2828" spans="1:26" customHeight="1" ht="18" hidden="true" outlineLevel="2">
      <c r="A2828" s="2" t="s">
        <v>5330</v>
      </c>
      <c r="B2828" s="3" t="s">
        <v>5331</v>
      </c>
      <c r="C2828" s="2"/>
      <c r="D2828" s="2" t="s">
        <v>16</v>
      </c>
      <c r="E2828" s="4">
        <f>480.46*(1-Z1%)</f>
        <v>480.46</v>
      </c>
      <c r="F2828" s="2">
        <v>6</v>
      </c>
      <c r="G2828" s="2"/>
    </row>
    <row r="2829" spans="1:26" customHeight="1" ht="36" hidden="true" outlineLevel="2">
      <c r="A2829" s="2" t="s">
        <v>5332</v>
      </c>
      <c r="B2829" s="3" t="s">
        <v>5333</v>
      </c>
      <c r="C2829" s="2"/>
      <c r="D2829" s="2" t="s">
        <v>16</v>
      </c>
      <c r="E2829" s="4">
        <f>487.88*(1-Z1%)</f>
        <v>487.88</v>
      </c>
      <c r="F2829" s="2">
        <v>4</v>
      </c>
      <c r="G2829" s="2"/>
    </row>
    <row r="2830" spans="1:26" customHeight="1" ht="36" hidden="true" outlineLevel="2">
      <c r="A2830" s="2" t="s">
        <v>5334</v>
      </c>
      <c r="B2830" s="3" t="s">
        <v>5335</v>
      </c>
      <c r="C2830" s="2"/>
      <c r="D2830" s="2" t="s">
        <v>16</v>
      </c>
      <c r="E2830" s="4">
        <f>546.67*(1-Z1%)</f>
        <v>546.67</v>
      </c>
      <c r="F2830" s="2">
        <v>3</v>
      </c>
      <c r="G2830" s="2"/>
    </row>
    <row r="2831" spans="1:26" customHeight="1" ht="36" hidden="true" outlineLevel="2">
      <c r="A2831" s="2" t="s">
        <v>5336</v>
      </c>
      <c r="B2831" s="3" t="s">
        <v>5337</v>
      </c>
      <c r="C2831" s="2"/>
      <c r="D2831" s="2" t="s">
        <v>16</v>
      </c>
      <c r="E2831" s="4">
        <f>303.32*(1-Z1%)</f>
        <v>303.32</v>
      </c>
      <c r="F2831" s="2">
        <v>2</v>
      </c>
      <c r="G2831" s="2"/>
    </row>
    <row r="2832" spans="1:26" customHeight="1" ht="36" hidden="true" outlineLevel="2">
      <c r="A2832" s="2" t="s">
        <v>5338</v>
      </c>
      <c r="B2832" s="3" t="s">
        <v>5339</v>
      </c>
      <c r="C2832" s="2"/>
      <c r="D2832" s="2" t="s">
        <v>16</v>
      </c>
      <c r="E2832" s="4">
        <f>299.78*(1-Z1%)</f>
        <v>299.78</v>
      </c>
      <c r="F2832" s="2">
        <v>1</v>
      </c>
      <c r="G2832" s="2"/>
    </row>
    <row r="2833" spans="1:26" customHeight="1" ht="36" hidden="true" outlineLevel="2">
      <c r="A2833" s="2" t="s">
        <v>5340</v>
      </c>
      <c r="B2833" s="3" t="s">
        <v>5341</v>
      </c>
      <c r="C2833" s="2"/>
      <c r="D2833" s="2" t="s">
        <v>16</v>
      </c>
      <c r="E2833" s="4">
        <f>320.95*(1-Z1%)</f>
        <v>320.95</v>
      </c>
      <c r="F2833" s="2">
        <v>4</v>
      </c>
      <c r="G2833" s="2"/>
    </row>
    <row r="2834" spans="1:26" customHeight="1" ht="36" hidden="true" outlineLevel="2">
      <c r="A2834" s="2" t="s">
        <v>5342</v>
      </c>
      <c r="B2834" s="3" t="s">
        <v>5343</v>
      </c>
      <c r="C2834" s="2"/>
      <c r="D2834" s="2" t="s">
        <v>16</v>
      </c>
      <c r="E2834" s="4">
        <f>370.32*(1-Z1%)</f>
        <v>370.32</v>
      </c>
      <c r="F2834" s="2">
        <v>2</v>
      </c>
      <c r="G2834" s="2"/>
    </row>
    <row r="2835" spans="1:26" customHeight="1" ht="36" hidden="true" outlineLevel="2">
      <c r="A2835" s="2" t="s">
        <v>5344</v>
      </c>
      <c r="B2835" s="3" t="s">
        <v>5345</v>
      </c>
      <c r="C2835" s="2"/>
      <c r="D2835" s="2" t="s">
        <v>16</v>
      </c>
      <c r="E2835" s="4">
        <f>346.81*(1-Z1%)</f>
        <v>346.81</v>
      </c>
      <c r="F2835" s="2">
        <v>3</v>
      </c>
      <c r="G2835" s="2"/>
    </row>
    <row r="2836" spans="1:26" customHeight="1" ht="36" hidden="true" outlineLevel="2">
      <c r="A2836" s="2" t="s">
        <v>5346</v>
      </c>
      <c r="B2836" s="3" t="s">
        <v>5347</v>
      </c>
      <c r="C2836" s="2"/>
      <c r="D2836" s="2" t="s">
        <v>16</v>
      </c>
      <c r="E2836" s="4">
        <f>511.40*(1-Z1%)</f>
        <v>511.4</v>
      </c>
      <c r="F2836" s="2">
        <v>4</v>
      </c>
      <c r="G2836" s="2"/>
    </row>
    <row r="2837" spans="1:26" customHeight="1" ht="36" hidden="true" outlineLevel="2">
      <c r="A2837" s="2" t="s">
        <v>5348</v>
      </c>
      <c r="B2837" s="3" t="s">
        <v>5349</v>
      </c>
      <c r="C2837" s="2"/>
      <c r="D2837" s="2" t="s">
        <v>16</v>
      </c>
      <c r="E2837" s="4">
        <f>382.08*(1-Z1%)</f>
        <v>382.08</v>
      </c>
      <c r="F2837" s="2">
        <v>3</v>
      </c>
      <c r="G2837" s="2"/>
    </row>
    <row r="2838" spans="1:26" customHeight="1" ht="36" hidden="true" outlineLevel="2">
      <c r="A2838" s="2" t="s">
        <v>5350</v>
      </c>
      <c r="B2838" s="3" t="s">
        <v>5351</v>
      </c>
      <c r="C2838" s="2"/>
      <c r="D2838" s="2" t="s">
        <v>16</v>
      </c>
      <c r="E2838" s="4">
        <f>457.32*(1-Z1%)</f>
        <v>457.32</v>
      </c>
      <c r="F2838" s="2">
        <v>8</v>
      </c>
      <c r="G2838" s="2"/>
    </row>
    <row r="2839" spans="1:26" customHeight="1" ht="36" hidden="true" outlineLevel="2">
      <c r="A2839" s="2" t="s">
        <v>5352</v>
      </c>
      <c r="B2839" s="3" t="s">
        <v>5353</v>
      </c>
      <c r="C2839" s="2"/>
      <c r="D2839" s="2" t="s">
        <v>16</v>
      </c>
      <c r="E2839" s="4">
        <f>509.18*(1-Z1%)</f>
        <v>509.18</v>
      </c>
      <c r="F2839" s="2">
        <v>1</v>
      </c>
      <c r="G2839" s="2"/>
    </row>
    <row r="2840" spans="1:26" customHeight="1" ht="35">
      <c r="A2840" s="1" t="s">
        <v>5354</v>
      </c>
      <c r="B2840" s="1"/>
      <c r="C2840" s="1"/>
      <c r="D2840" s="1"/>
      <c r="E2840" s="1"/>
      <c r="F2840" s="1"/>
      <c r="G2840" s="1"/>
    </row>
    <row r="2841" spans="1:26" customHeight="1" ht="35" hidden="true" outlineLevel="2">
      <c r="A2841" s="5" t="s">
        <v>5355</v>
      </c>
      <c r="B2841" s="5"/>
      <c r="C2841" s="5"/>
      <c r="D2841" s="5"/>
      <c r="E2841" s="5"/>
      <c r="F2841" s="5"/>
      <c r="G2841" s="5"/>
    </row>
    <row r="2842" spans="1:26" customHeight="1" ht="35" hidden="true" outlineLevel="3">
      <c r="A2842" s="5" t="s">
        <v>5356</v>
      </c>
      <c r="B2842" s="5"/>
      <c r="C2842" s="5"/>
      <c r="D2842" s="5"/>
      <c r="E2842" s="5"/>
      <c r="F2842" s="5"/>
      <c r="G2842" s="5"/>
    </row>
    <row r="2843" spans="1:26" customHeight="1" ht="36" hidden="true" outlineLevel="3">
      <c r="A2843" s="2" t="s">
        <v>5357</v>
      </c>
      <c r="B2843" s="3" t="s">
        <v>5358</v>
      </c>
      <c r="C2843" s="2"/>
      <c r="D2843" s="2" t="s">
        <v>16</v>
      </c>
      <c r="E2843" s="4">
        <f>299.36*(1-Z1%)</f>
        <v>299.36</v>
      </c>
      <c r="F2843" s="2">
        <v>3</v>
      </c>
      <c r="G2843" s="2"/>
    </row>
    <row r="2844" spans="1:26" customHeight="1" ht="36" hidden="true" outlineLevel="3">
      <c r="A2844" s="2" t="s">
        <v>5359</v>
      </c>
      <c r="B2844" s="3" t="s">
        <v>5360</v>
      </c>
      <c r="C2844" s="2"/>
      <c r="D2844" s="2" t="s">
        <v>16</v>
      </c>
      <c r="E2844" s="4">
        <f>315.62*(1-Z1%)</f>
        <v>315.62</v>
      </c>
      <c r="F2844" s="2">
        <v>3</v>
      </c>
      <c r="G2844" s="2"/>
    </row>
    <row r="2845" spans="1:26" customHeight="1" ht="36" hidden="true" outlineLevel="3">
      <c r="A2845" s="2" t="s">
        <v>5361</v>
      </c>
      <c r="B2845" s="3" t="s">
        <v>5362</v>
      </c>
      <c r="C2845" s="2"/>
      <c r="D2845" s="2" t="s">
        <v>16</v>
      </c>
      <c r="E2845" s="4">
        <f>649.72*(1-Z1%)</f>
        <v>649.72</v>
      </c>
      <c r="F2845" s="2">
        <v>1</v>
      </c>
      <c r="G2845" s="2"/>
    </row>
    <row r="2846" spans="1:26" customHeight="1" ht="36" hidden="true" outlineLevel="3">
      <c r="A2846" s="2" t="s">
        <v>5363</v>
      </c>
      <c r="B2846" s="3" t="s">
        <v>5364</v>
      </c>
      <c r="C2846" s="2"/>
      <c r="D2846" s="2" t="s">
        <v>16</v>
      </c>
      <c r="E2846" s="4">
        <f>662.59*(1-Z1%)</f>
        <v>662.59</v>
      </c>
      <c r="F2846" s="2">
        <v>2</v>
      </c>
      <c r="G2846" s="2"/>
    </row>
    <row r="2847" spans="1:26" customHeight="1" ht="35" hidden="true" outlineLevel="3">
      <c r="A2847" s="5" t="s">
        <v>5365</v>
      </c>
      <c r="B2847" s="5"/>
      <c r="C2847" s="5"/>
      <c r="D2847" s="5"/>
      <c r="E2847" s="5"/>
      <c r="F2847" s="5"/>
      <c r="G2847" s="5"/>
    </row>
    <row r="2848" spans="1:26" customHeight="1" ht="18" hidden="true" outlineLevel="3">
      <c r="A2848" s="2" t="s">
        <v>5366</v>
      </c>
      <c r="B2848" s="3" t="s">
        <v>5367</v>
      </c>
      <c r="C2848" s="2"/>
      <c r="D2848" s="2" t="s">
        <v>16</v>
      </c>
      <c r="E2848" s="4">
        <f>239.79*(1-Z1%)</f>
        <v>239.79</v>
      </c>
      <c r="F2848" s="2">
        <v>4</v>
      </c>
      <c r="G2848" s="2"/>
    </row>
    <row r="2849" spans="1:26" customHeight="1" ht="18" hidden="true" outlineLevel="3">
      <c r="A2849" s="2" t="s">
        <v>5368</v>
      </c>
      <c r="B2849" s="3" t="s">
        <v>5369</v>
      </c>
      <c r="C2849" s="2"/>
      <c r="D2849" s="2" t="s">
        <v>16</v>
      </c>
      <c r="E2849" s="4">
        <f>212.90*(1-Z1%)</f>
        <v>212.9</v>
      </c>
      <c r="F2849" s="2">
        <v>10</v>
      </c>
      <c r="G2849" s="2"/>
    </row>
    <row r="2850" spans="1:26" customHeight="1" ht="35" hidden="true" outlineLevel="3">
      <c r="A2850" s="5" t="s">
        <v>5370</v>
      </c>
      <c r="B2850" s="5"/>
      <c r="C2850" s="5"/>
      <c r="D2850" s="5"/>
      <c r="E2850" s="5"/>
      <c r="F2850" s="5"/>
      <c r="G2850" s="5"/>
    </row>
    <row r="2851" spans="1:26" customHeight="1" ht="35" hidden="true" outlineLevel="4">
      <c r="A2851" s="5" t="s">
        <v>5371</v>
      </c>
      <c r="B2851" s="5"/>
      <c r="C2851" s="5"/>
      <c r="D2851" s="5"/>
      <c r="E2851" s="5"/>
      <c r="F2851" s="5"/>
      <c r="G2851" s="5"/>
    </row>
    <row r="2852" spans="1:26" customHeight="1" ht="18" hidden="true" outlineLevel="4">
      <c r="A2852" s="2" t="s">
        <v>5372</v>
      </c>
      <c r="B2852" s="3" t="s">
        <v>5373</v>
      </c>
      <c r="C2852" s="2"/>
      <c r="D2852" s="2" t="s">
        <v>16</v>
      </c>
      <c r="E2852" s="4">
        <f>113.75*(1-Z1%)</f>
        <v>113.75</v>
      </c>
      <c r="F2852" s="2">
        <v>1</v>
      </c>
      <c r="G2852" s="2"/>
    </row>
    <row r="2853" spans="1:26" customHeight="1" ht="18" hidden="true" outlineLevel="4">
      <c r="A2853" s="2" t="s">
        <v>5374</v>
      </c>
      <c r="B2853" s="3" t="s">
        <v>5375</v>
      </c>
      <c r="C2853" s="2"/>
      <c r="D2853" s="2" t="s">
        <v>16</v>
      </c>
      <c r="E2853" s="4">
        <f>113.75*(1-Z1%)</f>
        <v>113.75</v>
      </c>
      <c r="F2853" s="2">
        <v>1</v>
      </c>
      <c r="G2853" s="2"/>
    </row>
    <row r="2854" spans="1:26" customHeight="1" ht="35" hidden="true" outlineLevel="3">
      <c r="A2854" s="5" t="s">
        <v>5376</v>
      </c>
      <c r="B2854" s="5"/>
      <c r="C2854" s="5"/>
      <c r="D2854" s="5"/>
      <c r="E2854" s="5"/>
      <c r="F2854" s="5"/>
      <c r="G2854" s="5"/>
    </row>
    <row r="2855" spans="1:26" customHeight="1" ht="35" hidden="true" outlineLevel="4">
      <c r="A2855" s="5" t="s">
        <v>5377</v>
      </c>
      <c r="B2855" s="5"/>
      <c r="C2855" s="5"/>
      <c r="D2855" s="5"/>
      <c r="E2855" s="5"/>
      <c r="F2855" s="5"/>
      <c r="G2855" s="5"/>
    </row>
    <row r="2856" spans="1:26" customHeight="1" ht="18" hidden="true" outlineLevel="4">
      <c r="A2856" s="2" t="s">
        <v>5378</v>
      </c>
      <c r="B2856" s="3" t="s">
        <v>5379</v>
      </c>
      <c r="C2856" s="2"/>
      <c r="D2856" s="2" t="s">
        <v>16</v>
      </c>
      <c r="E2856" s="4">
        <f>377.69*(1-Z1%)</f>
        <v>377.69</v>
      </c>
      <c r="F2856" s="2">
        <v>2</v>
      </c>
      <c r="G2856" s="2"/>
    </row>
    <row r="2857" spans="1:26" customHeight="1" ht="18" hidden="true" outlineLevel="4">
      <c r="A2857" s="2" t="s">
        <v>5380</v>
      </c>
      <c r="B2857" s="3" t="s">
        <v>5381</v>
      </c>
      <c r="C2857" s="2"/>
      <c r="D2857" s="2" t="s">
        <v>16</v>
      </c>
      <c r="E2857" s="4">
        <f>144.45*(1-Z1%)</f>
        <v>144.45</v>
      </c>
      <c r="F2857" s="2">
        <v>3</v>
      </c>
      <c r="G2857" s="2"/>
    </row>
    <row r="2858" spans="1:26" customHeight="1" ht="36" hidden="true" outlineLevel="4">
      <c r="A2858" s="2" t="s">
        <v>5382</v>
      </c>
      <c r="B2858" s="3" t="s">
        <v>5383</v>
      </c>
      <c r="C2858" s="2"/>
      <c r="D2858" s="2" t="s">
        <v>16</v>
      </c>
      <c r="E2858" s="4">
        <f>179.95*(1-Z1%)</f>
        <v>179.95</v>
      </c>
      <c r="F2858" s="2">
        <v>2</v>
      </c>
      <c r="G2858" s="2"/>
    </row>
    <row r="2859" spans="1:26" customHeight="1" ht="36" hidden="true" outlineLevel="4">
      <c r="A2859" s="2" t="s">
        <v>5384</v>
      </c>
      <c r="B2859" s="3" t="s">
        <v>5385</v>
      </c>
      <c r="C2859" s="2"/>
      <c r="D2859" s="2" t="s">
        <v>16</v>
      </c>
      <c r="E2859" s="4">
        <f>199.94*(1-Z1%)</f>
        <v>199.94</v>
      </c>
      <c r="F2859" s="2">
        <v>3</v>
      </c>
      <c r="G2859" s="2"/>
    </row>
    <row r="2860" spans="1:26" customHeight="1" ht="18" hidden="true" outlineLevel="4">
      <c r="A2860" s="2" t="s">
        <v>5386</v>
      </c>
      <c r="B2860" s="3" t="s">
        <v>5387</v>
      </c>
      <c r="C2860" s="2"/>
      <c r="D2860" s="2" t="s">
        <v>16</v>
      </c>
      <c r="E2860" s="4">
        <f>159.95*(1-Z1%)</f>
        <v>159.95</v>
      </c>
      <c r="F2860" s="2">
        <v>5</v>
      </c>
      <c r="G2860" s="2"/>
    </row>
    <row r="2861" spans="1:26" customHeight="1" ht="18" hidden="true" outlineLevel="4">
      <c r="A2861" s="2" t="s">
        <v>5388</v>
      </c>
      <c r="B2861" s="3" t="s">
        <v>5389</v>
      </c>
      <c r="C2861" s="2"/>
      <c r="D2861" s="2" t="s">
        <v>16</v>
      </c>
      <c r="E2861" s="4">
        <f>144.45*(1-Z1%)</f>
        <v>144.45</v>
      </c>
      <c r="F2861" s="2">
        <v>3</v>
      </c>
      <c r="G2861" s="2"/>
    </row>
    <row r="2862" spans="1:26" customHeight="1" ht="36" hidden="true" outlineLevel="4">
      <c r="A2862" s="2" t="s">
        <v>5390</v>
      </c>
      <c r="B2862" s="3" t="s">
        <v>5391</v>
      </c>
      <c r="C2862" s="2"/>
      <c r="D2862" s="2" t="s">
        <v>16</v>
      </c>
      <c r="E2862" s="4">
        <f>144.45*(1-Z1%)</f>
        <v>144.45</v>
      </c>
      <c r="F2862" s="2">
        <v>1</v>
      </c>
      <c r="G2862" s="2"/>
    </row>
    <row r="2863" spans="1:26" customHeight="1" ht="36" hidden="true" outlineLevel="4">
      <c r="A2863" s="2" t="s">
        <v>5392</v>
      </c>
      <c r="B2863" s="3" t="s">
        <v>5393</v>
      </c>
      <c r="C2863" s="2"/>
      <c r="D2863" s="2" t="s">
        <v>16</v>
      </c>
      <c r="E2863" s="4">
        <f>216.68*(1-Z1%)</f>
        <v>216.68</v>
      </c>
      <c r="F2863" s="2">
        <v>2</v>
      </c>
      <c r="G2863" s="2"/>
    </row>
    <row r="2864" spans="1:26" customHeight="1" ht="18" hidden="true" outlineLevel="4">
      <c r="A2864" s="2" t="s">
        <v>5394</v>
      </c>
      <c r="B2864" s="3" t="s">
        <v>5395</v>
      </c>
      <c r="C2864" s="2"/>
      <c r="D2864" s="2" t="s">
        <v>16</v>
      </c>
      <c r="E2864" s="4">
        <f>143.64*(1-Z1%)</f>
        <v>143.64</v>
      </c>
      <c r="F2864" s="2">
        <v>3</v>
      </c>
      <c r="G2864" s="2"/>
    </row>
    <row r="2865" spans="1:26" customHeight="1" ht="36" hidden="true" outlineLevel="4">
      <c r="A2865" s="2" t="s">
        <v>5396</v>
      </c>
      <c r="B2865" s="3" t="s">
        <v>5397</v>
      </c>
      <c r="C2865" s="2"/>
      <c r="D2865" s="2" t="s">
        <v>16</v>
      </c>
      <c r="E2865" s="4">
        <f>216.68*(1-Z1%)</f>
        <v>216.68</v>
      </c>
      <c r="F2865" s="2">
        <v>5</v>
      </c>
      <c r="G2865" s="2"/>
    </row>
    <row r="2866" spans="1:26" customHeight="1" ht="35" hidden="true" outlineLevel="4">
      <c r="A2866" s="5" t="s">
        <v>5398</v>
      </c>
      <c r="B2866" s="5"/>
      <c r="C2866" s="5"/>
      <c r="D2866" s="5"/>
      <c r="E2866" s="5"/>
      <c r="F2866" s="5"/>
      <c r="G2866" s="5"/>
    </row>
    <row r="2867" spans="1:26" customHeight="1" ht="18" hidden="true" outlineLevel="4">
      <c r="A2867" s="2" t="s">
        <v>5399</v>
      </c>
      <c r="B2867" s="3" t="s">
        <v>5400</v>
      </c>
      <c r="C2867" s="2"/>
      <c r="D2867" s="2" t="s">
        <v>16</v>
      </c>
      <c r="E2867" s="4">
        <f>581.93*(1-Z1%)</f>
        <v>581.93</v>
      </c>
      <c r="F2867" s="2">
        <v>2</v>
      </c>
      <c r="G2867" s="2"/>
    </row>
    <row r="2868" spans="1:26" customHeight="1" ht="18" hidden="true" outlineLevel="4">
      <c r="A2868" s="2" t="s">
        <v>5401</v>
      </c>
      <c r="B2868" s="3" t="s">
        <v>5402</v>
      </c>
      <c r="C2868" s="2"/>
      <c r="D2868" s="2" t="s">
        <v>16</v>
      </c>
      <c r="E2868" s="4">
        <f>558.42*(1-Z1%)</f>
        <v>558.42</v>
      </c>
      <c r="F2868" s="2">
        <v>1</v>
      </c>
      <c r="G2868" s="2"/>
    </row>
    <row r="2869" spans="1:26" customHeight="1" ht="18" hidden="true" outlineLevel="4">
      <c r="A2869" s="2" t="s">
        <v>5403</v>
      </c>
      <c r="B2869" s="3" t="s">
        <v>5404</v>
      </c>
      <c r="C2869" s="2"/>
      <c r="D2869" s="2" t="s">
        <v>16</v>
      </c>
      <c r="E2869" s="4">
        <f>581.93*(1-Z1%)</f>
        <v>581.93</v>
      </c>
      <c r="F2869" s="2">
        <v>2</v>
      </c>
      <c r="G2869" s="2"/>
    </row>
    <row r="2870" spans="1:26" customHeight="1" ht="18" hidden="true" outlineLevel="4">
      <c r="A2870" s="2" t="s">
        <v>5405</v>
      </c>
      <c r="B2870" s="3" t="s">
        <v>5406</v>
      </c>
      <c r="C2870" s="2"/>
      <c r="D2870" s="2" t="s">
        <v>16</v>
      </c>
      <c r="E2870" s="4">
        <f>558.42*(1-Z1%)</f>
        <v>558.42</v>
      </c>
      <c r="F2870" s="2">
        <v>1</v>
      </c>
      <c r="G2870" s="2"/>
    </row>
    <row r="2871" spans="1:26" customHeight="1" ht="18" hidden="true" outlineLevel="4">
      <c r="A2871" s="2" t="s">
        <v>5407</v>
      </c>
      <c r="B2871" s="3" t="s">
        <v>5408</v>
      </c>
      <c r="C2871" s="2"/>
      <c r="D2871" s="2" t="s">
        <v>16</v>
      </c>
      <c r="E2871" s="4">
        <f>570.18*(1-Z1%)</f>
        <v>570.18</v>
      </c>
      <c r="F2871" s="2">
        <v>1</v>
      </c>
      <c r="G2871" s="2"/>
    </row>
    <row r="2872" spans="1:26" customHeight="1" ht="18" hidden="true" outlineLevel="4">
      <c r="A2872" s="2" t="s">
        <v>5409</v>
      </c>
      <c r="B2872" s="3" t="s">
        <v>5410</v>
      </c>
      <c r="C2872" s="2"/>
      <c r="D2872" s="2" t="s">
        <v>16</v>
      </c>
      <c r="E2872" s="4">
        <f>558.42*(1-Z1%)</f>
        <v>558.42</v>
      </c>
      <c r="F2872" s="2">
        <v>4</v>
      </c>
      <c r="G2872" s="2"/>
    </row>
    <row r="2873" spans="1:26" customHeight="1" ht="36" hidden="true" outlineLevel="4">
      <c r="A2873" s="2" t="s">
        <v>5411</v>
      </c>
      <c r="B2873" s="3" t="s">
        <v>5412</v>
      </c>
      <c r="C2873" s="2"/>
      <c r="D2873" s="2" t="s">
        <v>16</v>
      </c>
      <c r="E2873" s="4">
        <f>668.93*(1-Z1%)</f>
        <v>668.93</v>
      </c>
      <c r="F2873" s="2">
        <v>1</v>
      </c>
      <c r="G2873" s="2"/>
    </row>
    <row r="2874" spans="1:26" customHeight="1" ht="36" hidden="true" outlineLevel="4">
      <c r="A2874" s="2" t="s">
        <v>5413</v>
      </c>
      <c r="B2874" s="3" t="s">
        <v>5414</v>
      </c>
      <c r="C2874" s="2"/>
      <c r="D2874" s="2" t="s">
        <v>16</v>
      </c>
      <c r="E2874" s="4">
        <f>653.78*(1-Z1%)</f>
        <v>653.78</v>
      </c>
      <c r="F2874" s="2">
        <v>3</v>
      </c>
      <c r="G2874" s="2"/>
    </row>
    <row r="2875" spans="1:26" customHeight="1" ht="36" hidden="true" outlineLevel="4">
      <c r="A2875" s="2" t="s">
        <v>5415</v>
      </c>
      <c r="B2875" s="3" t="s">
        <v>5416</v>
      </c>
      <c r="C2875" s="2"/>
      <c r="D2875" s="2" t="s">
        <v>16</v>
      </c>
      <c r="E2875" s="4">
        <f>1050.19*(1-Z1%)</f>
        <v>1050.19</v>
      </c>
      <c r="F2875" s="2">
        <v>1</v>
      </c>
      <c r="G2875" s="2"/>
    </row>
    <row r="2876" spans="1:26" customHeight="1" ht="36" hidden="true" outlineLevel="4">
      <c r="A2876" s="2" t="s">
        <v>5417</v>
      </c>
      <c r="B2876" s="3" t="s">
        <v>5418</v>
      </c>
      <c r="C2876" s="2"/>
      <c r="D2876" s="2" t="s">
        <v>16</v>
      </c>
      <c r="E2876" s="4">
        <f>699.50*(1-Z1%)</f>
        <v>699.5</v>
      </c>
      <c r="F2876" s="2">
        <v>2</v>
      </c>
      <c r="G2876" s="2"/>
    </row>
    <row r="2877" spans="1:26" customHeight="1" ht="35" hidden="true" outlineLevel="4">
      <c r="A2877" s="5" t="s">
        <v>5419</v>
      </c>
      <c r="B2877" s="5"/>
      <c r="C2877" s="5"/>
      <c r="D2877" s="5"/>
      <c r="E2877" s="5"/>
      <c r="F2877" s="5"/>
      <c r="G2877" s="5"/>
    </row>
    <row r="2878" spans="1:26" customHeight="1" ht="36" hidden="true" outlineLevel="4">
      <c r="A2878" s="2" t="s">
        <v>5420</v>
      </c>
      <c r="B2878" s="3" t="s">
        <v>5421</v>
      </c>
      <c r="C2878" s="2"/>
      <c r="D2878" s="2" t="s">
        <v>16</v>
      </c>
      <c r="E2878" s="4">
        <f>1193.07*(1-Z1%)</f>
        <v>1193.07</v>
      </c>
      <c r="F2878" s="2">
        <v>2</v>
      </c>
      <c r="G2878" s="2"/>
    </row>
    <row r="2879" spans="1:26" customHeight="1" ht="18" hidden="true" outlineLevel="4">
      <c r="A2879" s="2" t="s">
        <v>5422</v>
      </c>
      <c r="B2879" s="3" t="s">
        <v>5423</v>
      </c>
      <c r="C2879" s="2"/>
      <c r="D2879" s="2" t="s">
        <v>16</v>
      </c>
      <c r="E2879" s="4">
        <f>1116.85*(1-Z1%)</f>
        <v>1116.85</v>
      </c>
      <c r="F2879" s="2">
        <v>2</v>
      </c>
      <c r="G2879" s="2"/>
    </row>
    <row r="2880" spans="1:26" customHeight="1" ht="18" hidden="true" outlineLevel="4">
      <c r="A2880" s="2" t="s">
        <v>5424</v>
      </c>
      <c r="B2880" s="3" t="s">
        <v>5425</v>
      </c>
      <c r="C2880" s="2"/>
      <c r="D2880" s="2" t="s">
        <v>16</v>
      </c>
      <c r="E2880" s="4">
        <f>1116.85*(1-Z1%)</f>
        <v>1116.85</v>
      </c>
      <c r="F2880" s="2">
        <v>1</v>
      </c>
      <c r="G2880" s="2"/>
    </row>
    <row r="2881" spans="1:26" customHeight="1" ht="36" hidden="true" outlineLevel="4">
      <c r="A2881" s="2" t="s">
        <v>5426</v>
      </c>
      <c r="B2881" s="3" t="s">
        <v>5427</v>
      </c>
      <c r="C2881" s="2"/>
      <c r="D2881" s="2" t="s">
        <v>16</v>
      </c>
      <c r="E2881" s="4">
        <f>815.16*(1-Z1%)</f>
        <v>815.16</v>
      </c>
      <c r="F2881" s="2">
        <v>1</v>
      </c>
      <c r="G2881" s="2"/>
    </row>
    <row r="2882" spans="1:26" customHeight="1" ht="36" hidden="true" outlineLevel="4">
      <c r="A2882" s="2" t="s">
        <v>5428</v>
      </c>
      <c r="B2882" s="3" t="s">
        <v>5429</v>
      </c>
      <c r="C2882" s="2"/>
      <c r="D2882" s="2" t="s">
        <v>16</v>
      </c>
      <c r="E2882" s="4">
        <f>823.39*(1-Z1%)</f>
        <v>823.39</v>
      </c>
      <c r="F2882" s="2">
        <v>2</v>
      </c>
      <c r="G2882" s="2"/>
    </row>
    <row r="2883" spans="1:26" customHeight="1" ht="35" hidden="true" outlineLevel="3">
      <c r="A2883" s="5" t="s">
        <v>5430</v>
      </c>
      <c r="B2883" s="5"/>
      <c r="C2883" s="5"/>
      <c r="D2883" s="5"/>
      <c r="E2883" s="5"/>
      <c r="F2883" s="5"/>
      <c r="G2883" s="5"/>
    </row>
    <row r="2884" spans="1:26" customHeight="1" ht="36" hidden="true" outlineLevel="3">
      <c r="A2884" s="2" t="s">
        <v>5431</v>
      </c>
      <c r="B2884" s="3" t="s">
        <v>5432</v>
      </c>
      <c r="C2884" s="2"/>
      <c r="D2884" s="2" t="s">
        <v>16</v>
      </c>
      <c r="E2884" s="4">
        <f>125.79*(1-Z1%)</f>
        <v>125.79</v>
      </c>
      <c r="F2884" s="2">
        <v>11</v>
      </c>
      <c r="G2884" s="2"/>
    </row>
    <row r="2885" spans="1:26" customHeight="1" ht="36" hidden="true" outlineLevel="3">
      <c r="A2885" s="2" t="s">
        <v>5433</v>
      </c>
      <c r="B2885" s="3" t="s">
        <v>5434</v>
      </c>
      <c r="C2885" s="2"/>
      <c r="D2885" s="2" t="s">
        <v>16</v>
      </c>
      <c r="E2885" s="4">
        <f>200.81*(1-Z1%)</f>
        <v>200.81</v>
      </c>
      <c r="F2885" s="2">
        <v>1</v>
      </c>
      <c r="G2885" s="2"/>
    </row>
    <row r="2886" spans="1:26" customHeight="1" ht="18" hidden="true" outlineLevel="3">
      <c r="A2886" s="2" t="s">
        <v>5435</v>
      </c>
      <c r="B2886" s="3" t="s">
        <v>5436</v>
      </c>
      <c r="C2886" s="2"/>
      <c r="D2886" s="2" t="s">
        <v>16</v>
      </c>
      <c r="E2886" s="4">
        <f>165.85*(1-Z1%)</f>
        <v>165.85</v>
      </c>
      <c r="F2886" s="2">
        <v>3</v>
      </c>
      <c r="G2886" s="2"/>
    </row>
    <row r="2887" spans="1:26" customHeight="1" ht="35" hidden="true" outlineLevel="3">
      <c r="A2887" s="5" t="s">
        <v>5437</v>
      </c>
      <c r="B2887" s="5"/>
      <c r="C2887" s="5"/>
      <c r="D2887" s="5"/>
      <c r="E2887" s="5"/>
      <c r="F2887" s="5"/>
      <c r="G2887" s="5"/>
    </row>
    <row r="2888" spans="1:26" customHeight="1" ht="18" hidden="true" outlineLevel="3">
      <c r="A2888" s="2" t="s">
        <v>5438</v>
      </c>
      <c r="B2888" s="3" t="s">
        <v>5439</v>
      </c>
      <c r="C2888" s="2"/>
      <c r="D2888" s="2" t="s">
        <v>16</v>
      </c>
      <c r="E2888" s="4">
        <f>1923.43*(1-Z1%)</f>
        <v>1923.43</v>
      </c>
      <c r="F2888" s="2">
        <v>1</v>
      </c>
      <c r="G2888" s="2"/>
    </row>
    <row r="2889" spans="1:26" customHeight="1" ht="18" hidden="true" outlineLevel="3">
      <c r="A2889" s="2" t="s">
        <v>5440</v>
      </c>
      <c r="B2889" s="3" t="s">
        <v>5441</v>
      </c>
      <c r="C2889" s="2"/>
      <c r="D2889" s="2" t="s">
        <v>16</v>
      </c>
      <c r="E2889" s="4">
        <f>25.88*(1-Z1%)</f>
        <v>25.88</v>
      </c>
      <c r="F2889" s="2">
        <v>17</v>
      </c>
      <c r="G2889" s="2"/>
    </row>
    <row r="2890" spans="1:26" customHeight="1" ht="35" hidden="true" outlineLevel="3">
      <c r="A2890" s="5" t="s">
        <v>5442</v>
      </c>
      <c r="B2890" s="5"/>
      <c r="C2890" s="5"/>
      <c r="D2890" s="5"/>
      <c r="E2890" s="5"/>
      <c r="F2890" s="5"/>
      <c r="G2890" s="5"/>
    </row>
    <row r="2891" spans="1:26" customHeight="1" ht="36" hidden="true" outlineLevel="3">
      <c r="A2891" s="2" t="s">
        <v>5443</v>
      </c>
      <c r="B2891" s="3" t="s">
        <v>5444</v>
      </c>
      <c r="C2891" s="2"/>
      <c r="D2891" s="2" t="s">
        <v>16</v>
      </c>
      <c r="E2891" s="4">
        <f>1193.07*(1-Z1%)</f>
        <v>1193.07</v>
      </c>
      <c r="F2891" s="2">
        <v>3</v>
      </c>
      <c r="G2891" s="2"/>
    </row>
    <row r="2892" spans="1:26" customHeight="1" ht="36" hidden="true" outlineLevel="3">
      <c r="A2892" s="2" t="s">
        <v>5445</v>
      </c>
      <c r="B2892" s="3" t="s">
        <v>5446</v>
      </c>
      <c r="C2892" s="2"/>
      <c r="D2892" s="2" t="s">
        <v>16</v>
      </c>
      <c r="E2892" s="4">
        <f>1732.00*(1-Z1%)</f>
        <v>1732</v>
      </c>
      <c r="F2892" s="2">
        <v>2</v>
      </c>
      <c r="G2892" s="2"/>
    </row>
    <row r="2893" spans="1:26" customHeight="1" ht="36" hidden="true" outlineLevel="3">
      <c r="A2893" s="2" t="s">
        <v>5447</v>
      </c>
      <c r="B2893" s="3" t="s">
        <v>5448</v>
      </c>
      <c r="C2893" s="2"/>
      <c r="D2893" s="2" t="s">
        <v>16</v>
      </c>
      <c r="E2893" s="4">
        <f>1821.99*(1-Z1%)</f>
        <v>1821.99</v>
      </c>
      <c r="F2893" s="2">
        <v>2</v>
      </c>
      <c r="G2893" s="2"/>
    </row>
    <row r="2894" spans="1:26" customHeight="1" ht="36" hidden="true" outlineLevel="3">
      <c r="A2894" s="2" t="s">
        <v>5449</v>
      </c>
      <c r="B2894" s="3" t="s">
        <v>5450</v>
      </c>
      <c r="C2894" s="2"/>
      <c r="D2894" s="2" t="s">
        <v>16</v>
      </c>
      <c r="E2894" s="4">
        <f>823.39*(1-Z1%)</f>
        <v>823.39</v>
      </c>
      <c r="F2894" s="2">
        <v>1</v>
      </c>
      <c r="G2894" s="2"/>
    </row>
    <row r="2895" spans="1:26" customHeight="1" ht="35" hidden="true" outlineLevel="2">
      <c r="A2895" s="5" t="s">
        <v>5451</v>
      </c>
      <c r="B2895" s="5"/>
      <c r="C2895" s="5"/>
      <c r="D2895" s="5"/>
      <c r="E2895" s="5"/>
      <c r="F2895" s="5"/>
      <c r="G2895" s="5"/>
    </row>
    <row r="2896" spans="1:26" customHeight="1" ht="18" hidden="true" outlineLevel="2">
      <c r="A2896" s="2" t="s">
        <v>5452</v>
      </c>
      <c r="B2896" s="3" t="s">
        <v>5453</v>
      </c>
      <c r="C2896" s="2"/>
      <c r="D2896" s="2" t="s">
        <v>16</v>
      </c>
      <c r="E2896" s="4">
        <f>764.16*(1-Z1%)</f>
        <v>764.16</v>
      </c>
      <c r="F2896" s="2">
        <v>2</v>
      </c>
      <c r="G2896" s="2"/>
    </row>
    <row r="2897" spans="1:26" customHeight="1" ht="18" hidden="true" outlineLevel="2">
      <c r="A2897" s="2" t="s">
        <v>5454</v>
      </c>
      <c r="B2897" s="3" t="s">
        <v>5455</v>
      </c>
      <c r="C2897" s="2"/>
      <c r="D2897" s="2" t="s">
        <v>16</v>
      </c>
      <c r="E2897" s="4">
        <f>1052.18*(1-Z1%)</f>
        <v>1052.18</v>
      </c>
      <c r="F2897" s="2">
        <v>2</v>
      </c>
      <c r="G2897" s="2"/>
    </row>
    <row r="2898" spans="1:26" customHeight="1" ht="18" hidden="true" outlineLevel="2">
      <c r="A2898" s="2" t="s">
        <v>5456</v>
      </c>
      <c r="B2898" s="3" t="s">
        <v>5457</v>
      </c>
      <c r="C2898" s="2"/>
      <c r="D2898" s="2" t="s">
        <v>16</v>
      </c>
      <c r="E2898" s="4">
        <f>1052.18*(1-Z1%)</f>
        <v>1052.18</v>
      </c>
      <c r="F2898" s="2">
        <v>4</v>
      </c>
      <c r="G2898" s="2"/>
    </row>
    <row r="2899" spans="1:26" customHeight="1" ht="35">
      <c r="A2899" s="1" t="s">
        <v>5458</v>
      </c>
      <c r="B2899" s="1"/>
      <c r="C2899" s="1"/>
      <c r="D2899" s="1"/>
      <c r="E2899" s="1"/>
      <c r="F2899" s="1"/>
      <c r="G2899" s="1"/>
    </row>
    <row r="2900" spans="1:26" customHeight="1" ht="35" hidden="true" outlineLevel="2">
      <c r="A2900" s="5" t="s">
        <v>5459</v>
      </c>
      <c r="B2900" s="5"/>
      <c r="C2900" s="5"/>
      <c r="D2900" s="5"/>
      <c r="E2900" s="5"/>
      <c r="F2900" s="5"/>
      <c r="G2900" s="5"/>
    </row>
    <row r="2901" spans="1:26" customHeight="1" ht="35" hidden="true" outlineLevel="3">
      <c r="A2901" s="5" t="s">
        <v>5460</v>
      </c>
      <c r="B2901" s="5"/>
      <c r="C2901" s="5"/>
      <c r="D2901" s="5"/>
      <c r="E2901" s="5"/>
      <c r="F2901" s="5"/>
      <c r="G2901" s="5"/>
    </row>
    <row r="2902" spans="1:26" customHeight="1" ht="18" hidden="true" outlineLevel="3">
      <c r="A2902" s="2" t="s">
        <v>5461</v>
      </c>
      <c r="B2902" s="3" t="s">
        <v>5462</v>
      </c>
      <c r="C2902" s="2"/>
      <c r="D2902" s="2" t="s">
        <v>16</v>
      </c>
      <c r="E2902" s="4">
        <f>247.94*(1-Z1%)</f>
        <v>247.94</v>
      </c>
      <c r="F2902" s="2">
        <v>2</v>
      </c>
      <c r="G2902" s="2"/>
    </row>
    <row r="2903" spans="1:26" customHeight="1" ht="36" hidden="true" outlineLevel="3">
      <c r="A2903" s="2" t="s">
        <v>5463</v>
      </c>
      <c r="B2903" s="3" t="s">
        <v>5464</v>
      </c>
      <c r="C2903" s="2"/>
      <c r="D2903" s="2" t="s">
        <v>16</v>
      </c>
      <c r="E2903" s="4">
        <f>152.75*(1-Z1%)</f>
        <v>152.75</v>
      </c>
      <c r="F2903" s="2">
        <v>2</v>
      </c>
      <c r="G2903" s="2"/>
    </row>
    <row r="2904" spans="1:26" customHeight="1" ht="36" hidden="true" outlineLevel="3">
      <c r="A2904" s="2" t="s">
        <v>5465</v>
      </c>
      <c r="B2904" s="3" t="s">
        <v>5466</v>
      </c>
      <c r="C2904" s="2"/>
      <c r="D2904" s="2" t="s">
        <v>16</v>
      </c>
      <c r="E2904" s="4">
        <f>142.97*(1-Z1%)</f>
        <v>142.97</v>
      </c>
      <c r="F2904" s="2">
        <v>2</v>
      </c>
      <c r="G2904" s="2"/>
    </row>
    <row r="2905" spans="1:26" customHeight="1" ht="35" hidden="true" outlineLevel="3">
      <c r="A2905" s="5" t="s">
        <v>5467</v>
      </c>
      <c r="B2905" s="5"/>
      <c r="C2905" s="5"/>
      <c r="D2905" s="5"/>
      <c r="E2905" s="5"/>
      <c r="F2905" s="5"/>
      <c r="G2905" s="5"/>
    </row>
    <row r="2906" spans="1:26" customHeight="1" ht="36" hidden="true" outlineLevel="3">
      <c r="A2906" s="2" t="s">
        <v>5468</v>
      </c>
      <c r="B2906" s="3" t="s">
        <v>5469</v>
      </c>
      <c r="C2906" s="2"/>
      <c r="D2906" s="2" t="s">
        <v>16</v>
      </c>
      <c r="E2906" s="4">
        <f>92.82*(1-Z1%)</f>
        <v>92.82</v>
      </c>
      <c r="F2906" s="2">
        <v>1</v>
      </c>
      <c r="G2906" s="2"/>
    </row>
    <row r="2907" spans="1:26" customHeight="1" ht="36" hidden="true" outlineLevel="3">
      <c r="A2907" s="2" t="s">
        <v>5470</v>
      </c>
      <c r="B2907" s="3" t="s">
        <v>5471</v>
      </c>
      <c r="C2907" s="2"/>
      <c r="D2907" s="2" t="s">
        <v>16</v>
      </c>
      <c r="E2907" s="4">
        <f>68.07*(1-Z1%)</f>
        <v>68.07</v>
      </c>
      <c r="F2907" s="2">
        <v>4</v>
      </c>
      <c r="G2907" s="2"/>
    </row>
    <row r="2908" spans="1:26" customHeight="1" ht="36" hidden="true" outlineLevel="3">
      <c r="A2908" s="2" t="s">
        <v>5472</v>
      </c>
      <c r="B2908" s="3" t="s">
        <v>5473</v>
      </c>
      <c r="C2908" s="2"/>
      <c r="D2908" s="2" t="s">
        <v>16</v>
      </c>
      <c r="E2908" s="4">
        <f>68.07*(1-Z1%)</f>
        <v>68.07</v>
      </c>
      <c r="F2908" s="2">
        <v>8</v>
      </c>
      <c r="G2908" s="2"/>
    </row>
    <row r="2909" spans="1:26" customHeight="1" ht="36" hidden="true" outlineLevel="3">
      <c r="A2909" s="2" t="s">
        <v>5474</v>
      </c>
      <c r="B2909" s="3" t="s">
        <v>5475</v>
      </c>
      <c r="C2909" s="2"/>
      <c r="D2909" s="2" t="s">
        <v>16</v>
      </c>
      <c r="E2909" s="4">
        <f>80.44*(1-Z1%)</f>
        <v>80.44</v>
      </c>
      <c r="F2909" s="2">
        <v>1</v>
      </c>
      <c r="G2909" s="2"/>
    </row>
    <row r="2910" spans="1:26" customHeight="1" ht="36" hidden="true" outlineLevel="3">
      <c r="A2910" s="2" t="s">
        <v>5476</v>
      </c>
      <c r="B2910" s="3" t="s">
        <v>5477</v>
      </c>
      <c r="C2910" s="2"/>
      <c r="D2910" s="2" t="s">
        <v>16</v>
      </c>
      <c r="E2910" s="4">
        <f>230.63*(1-Z1%)</f>
        <v>230.63</v>
      </c>
      <c r="F2910" s="2">
        <v>1</v>
      </c>
      <c r="G2910" s="2"/>
    </row>
    <row r="2911" spans="1:26" customHeight="1" ht="35" hidden="true" outlineLevel="2">
      <c r="A2911" s="5" t="s">
        <v>5478</v>
      </c>
      <c r="B2911" s="5"/>
      <c r="C2911" s="5"/>
      <c r="D2911" s="5"/>
      <c r="E2911" s="5"/>
      <c r="F2911" s="5"/>
      <c r="G2911" s="5"/>
    </row>
    <row r="2912" spans="1:26" customHeight="1" ht="35" hidden="true" outlineLevel="3">
      <c r="A2912" s="5" t="s">
        <v>5479</v>
      </c>
      <c r="B2912" s="5"/>
      <c r="C2912" s="5"/>
      <c r="D2912" s="5"/>
      <c r="E2912" s="5"/>
      <c r="F2912" s="5"/>
      <c r="G2912" s="5"/>
    </row>
    <row r="2913" spans="1:26" customHeight="1" ht="18" hidden="true" outlineLevel="3">
      <c r="A2913" s="2" t="s">
        <v>5480</v>
      </c>
      <c r="B2913" s="3" t="s">
        <v>5481</v>
      </c>
      <c r="C2913" s="2"/>
      <c r="D2913" s="2" t="s">
        <v>16</v>
      </c>
      <c r="E2913" s="4">
        <f>686.03*(1-Z1%)</f>
        <v>686.03</v>
      </c>
      <c r="F2913" s="2">
        <v>2</v>
      </c>
      <c r="G2913" s="2"/>
    </row>
    <row r="2914" spans="1:26" customHeight="1" ht="18" hidden="true" outlineLevel="3">
      <c r="A2914" s="2" t="s">
        <v>5482</v>
      </c>
      <c r="B2914" s="3" t="s">
        <v>5481</v>
      </c>
      <c r="C2914" s="2"/>
      <c r="D2914" s="2" t="s">
        <v>16</v>
      </c>
      <c r="E2914" s="4">
        <f>622.24*(1-Z1%)</f>
        <v>622.24</v>
      </c>
      <c r="F2914" s="2">
        <v>1</v>
      </c>
      <c r="G2914" s="2"/>
    </row>
    <row r="2915" spans="1:26" customHeight="1" ht="18" hidden="true" outlineLevel="3">
      <c r="A2915" s="2" t="s">
        <v>5483</v>
      </c>
      <c r="B2915" s="3" t="s">
        <v>5484</v>
      </c>
      <c r="C2915" s="2"/>
      <c r="D2915" s="2" t="s">
        <v>16</v>
      </c>
      <c r="E2915" s="4">
        <f>641.60*(1-Z1%)</f>
        <v>641.6</v>
      </c>
      <c r="F2915" s="2">
        <v>3</v>
      </c>
      <c r="G2915" s="2"/>
    </row>
    <row r="2916" spans="1:26" customHeight="1" ht="18" hidden="true" outlineLevel="3">
      <c r="A2916" s="2" t="s">
        <v>5485</v>
      </c>
      <c r="B2916" s="3" t="s">
        <v>5486</v>
      </c>
      <c r="C2916" s="2"/>
      <c r="D2916" s="2" t="s">
        <v>16</v>
      </c>
      <c r="E2916" s="4">
        <f>420.53*(1-Z1%)</f>
        <v>420.53</v>
      </c>
      <c r="F2916" s="2">
        <v>2</v>
      </c>
      <c r="G2916" s="2"/>
    </row>
    <row r="2917" spans="1:26" customHeight="1" ht="18" hidden="true" outlineLevel="3">
      <c r="A2917" s="2" t="s">
        <v>5487</v>
      </c>
      <c r="B2917" s="3" t="s">
        <v>5488</v>
      </c>
      <c r="C2917" s="2"/>
      <c r="D2917" s="2" t="s">
        <v>16</v>
      </c>
      <c r="E2917" s="4">
        <f>432.59*(1-Z1%)</f>
        <v>432.59</v>
      </c>
      <c r="F2917" s="2">
        <v>2</v>
      </c>
      <c r="G2917" s="2"/>
    </row>
    <row r="2918" spans="1:26" customHeight="1" ht="18" hidden="true" outlineLevel="3">
      <c r="A2918" s="2" t="s">
        <v>5489</v>
      </c>
      <c r="B2918" s="3" t="s">
        <v>5490</v>
      </c>
      <c r="C2918" s="2"/>
      <c r="D2918" s="2" t="s">
        <v>16</v>
      </c>
      <c r="E2918" s="4">
        <f>253.08*(1-Z1%)</f>
        <v>253.08</v>
      </c>
      <c r="F2918" s="2">
        <v>4</v>
      </c>
      <c r="G2918" s="2"/>
    </row>
    <row r="2919" spans="1:26" customHeight="1" ht="18" hidden="true" outlineLevel="3">
      <c r="A2919" s="2" t="s">
        <v>5491</v>
      </c>
      <c r="B2919" s="3" t="s">
        <v>5492</v>
      </c>
      <c r="C2919" s="2"/>
      <c r="D2919" s="2" t="s">
        <v>16</v>
      </c>
      <c r="E2919" s="4">
        <f>288.69*(1-Z1%)</f>
        <v>288.69</v>
      </c>
      <c r="F2919" s="2">
        <v>20</v>
      </c>
      <c r="G2919" s="2"/>
    </row>
    <row r="2920" spans="1:26" customHeight="1" ht="18" hidden="true" outlineLevel="3">
      <c r="A2920" s="2" t="s">
        <v>5493</v>
      </c>
      <c r="B2920" s="3" t="s">
        <v>5494</v>
      </c>
      <c r="C2920" s="2"/>
      <c r="D2920" s="2" t="s">
        <v>16</v>
      </c>
      <c r="E2920" s="4">
        <f>693.42*(1-Z1%)</f>
        <v>693.42</v>
      </c>
      <c r="F2920" s="2">
        <v>2</v>
      </c>
      <c r="G2920" s="2"/>
    </row>
    <row r="2921" spans="1:26" customHeight="1" ht="18" hidden="true" outlineLevel="3">
      <c r="A2921" s="2" t="s">
        <v>5495</v>
      </c>
      <c r="B2921" s="3" t="s">
        <v>5496</v>
      </c>
      <c r="C2921" s="2"/>
      <c r="D2921" s="2" t="s">
        <v>16</v>
      </c>
      <c r="E2921" s="4">
        <f>882.05*(1-Z1%)</f>
        <v>882.05</v>
      </c>
      <c r="F2921" s="2">
        <v>6</v>
      </c>
      <c r="G2921" s="2"/>
    </row>
    <row r="2922" spans="1:26" customHeight="1" ht="18" hidden="true" outlineLevel="3">
      <c r="A2922" s="2" t="s">
        <v>5497</v>
      </c>
      <c r="B2922" s="3" t="s">
        <v>5498</v>
      </c>
      <c r="C2922" s="2"/>
      <c r="D2922" s="2" t="s">
        <v>16</v>
      </c>
      <c r="E2922" s="4">
        <f>387.96*(1-Z1%)</f>
        <v>387.96</v>
      </c>
      <c r="F2922" s="2">
        <v>1</v>
      </c>
      <c r="G2922" s="2"/>
    </row>
    <row r="2923" spans="1:26" customHeight="1" ht="18" hidden="true" outlineLevel="3">
      <c r="A2923" s="2" t="s">
        <v>5499</v>
      </c>
      <c r="B2923" s="3" t="s">
        <v>5500</v>
      </c>
      <c r="C2923" s="2"/>
      <c r="D2923" s="2" t="s">
        <v>16</v>
      </c>
      <c r="E2923" s="4">
        <f>300.26*(1-Z1%)</f>
        <v>300.26</v>
      </c>
      <c r="F2923" s="2">
        <v>15</v>
      </c>
      <c r="G2923" s="2"/>
    </row>
    <row r="2924" spans="1:26" customHeight="1" ht="18" hidden="true" outlineLevel="3">
      <c r="A2924" s="2" t="s">
        <v>5501</v>
      </c>
      <c r="B2924" s="3" t="s">
        <v>5502</v>
      </c>
      <c r="C2924" s="2"/>
      <c r="D2924" s="2" t="s">
        <v>16</v>
      </c>
      <c r="E2924" s="4">
        <f>438.60*(1-Z1%)</f>
        <v>438.6</v>
      </c>
      <c r="F2924" s="2">
        <v>1</v>
      </c>
      <c r="G2924" s="2"/>
    </row>
    <row r="2925" spans="1:26" customHeight="1" ht="18" hidden="true" outlineLevel="3">
      <c r="A2925" s="2" t="s">
        <v>5503</v>
      </c>
      <c r="B2925" s="3" t="s">
        <v>5504</v>
      </c>
      <c r="C2925" s="2"/>
      <c r="D2925" s="2" t="s">
        <v>16</v>
      </c>
      <c r="E2925" s="4">
        <f>439.82*(1-Z1%)</f>
        <v>439.82</v>
      </c>
      <c r="F2925" s="2">
        <v>3</v>
      </c>
      <c r="G2925" s="2"/>
    </row>
    <row r="2926" spans="1:26" customHeight="1" ht="18" hidden="true" outlineLevel="3">
      <c r="A2926" s="2" t="s">
        <v>5505</v>
      </c>
      <c r="B2926" s="3" t="s">
        <v>5506</v>
      </c>
      <c r="C2926" s="2"/>
      <c r="D2926" s="2" t="s">
        <v>16</v>
      </c>
      <c r="E2926" s="4">
        <f>334.46*(1-Z1%)</f>
        <v>334.46</v>
      </c>
      <c r="F2926" s="2">
        <v>4</v>
      </c>
      <c r="G2926" s="2"/>
    </row>
    <row r="2927" spans="1:26" customHeight="1" ht="18" hidden="true" outlineLevel="3">
      <c r="A2927" s="2" t="s">
        <v>5507</v>
      </c>
      <c r="B2927" s="3" t="s">
        <v>5508</v>
      </c>
      <c r="C2927" s="2"/>
      <c r="D2927" s="2" t="s">
        <v>16</v>
      </c>
      <c r="E2927" s="4">
        <f>436.15*(1-Z1%)</f>
        <v>436.15</v>
      </c>
      <c r="F2927" s="2">
        <v>5</v>
      </c>
      <c r="G2927" s="2"/>
    </row>
    <row r="2928" spans="1:26" customHeight="1" ht="18" hidden="true" outlineLevel="3">
      <c r="A2928" s="2" t="s">
        <v>5509</v>
      </c>
      <c r="B2928" s="3" t="s">
        <v>5510</v>
      </c>
      <c r="C2928" s="2"/>
      <c r="D2928" s="2" t="s">
        <v>16</v>
      </c>
      <c r="E2928" s="4">
        <f>838.39*(1-Z1%)</f>
        <v>838.39</v>
      </c>
      <c r="F2928" s="2">
        <v>1</v>
      </c>
      <c r="G2928" s="2"/>
    </row>
    <row r="2929" spans="1:26" customHeight="1" ht="18" hidden="true" outlineLevel="3">
      <c r="A2929" s="2" t="s">
        <v>5511</v>
      </c>
      <c r="B2929" s="3" t="s">
        <v>5512</v>
      </c>
      <c r="C2929" s="2"/>
      <c r="D2929" s="2" t="s">
        <v>16</v>
      </c>
      <c r="E2929" s="4">
        <f>410.61*(1-Z1%)</f>
        <v>410.61</v>
      </c>
      <c r="F2929" s="2">
        <v>5</v>
      </c>
      <c r="G2929" s="2"/>
    </row>
    <row r="2930" spans="1:26" customHeight="1" ht="18" hidden="true" outlineLevel="3">
      <c r="A2930" s="2" t="s">
        <v>5513</v>
      </c>
      <c r="B2930" s="3" t="s">
        <v>5514</v>
      </c>
      <c r="C2930" s="2"/>
      <c r="D2930" s="2" t="s">
        <v>16</v>
      </c>
      <c r="E2930" s="4">
        <f>348.28*(1-Z1%)</f>
        <v>348.28</v>
      </c>
      <c r="F2930" s="2">
        <v>7</v>
      </c>
      <c r="G2930" s="2"/>
    </row>
    <row r="2931" spans="1:26" customHeight="1" ht="36" hidden="true" outlineLevel="3">
      <c r="A2931" s="2" t="s">
        <v>5515</v>
      </c>
      <c r="B2931" s="3" t="s">
        <v>5516</v>
      </c>
      <c r="C2931" s="2"/>
      <c r="D2931" s="2" t="s">
        <v>16</v>
      </c>
      <c r="E2931" s="4">
        <f>486.49*(1-Z1%)</f>
        <v>486.49</v>
      </c>
      <c r="F2931" s="2">
        <v>3</v>
      </c>
      <c r="G2931" s="2"/>
    </row>
    <row r="2932" spans="1:26" customHeight="1" ht="18" hidden="true" outlineLevel="3">
      <c r="A2932" s="2" t="s">
        <v>5517</v>
      </c>
      <c r="B2932" s="3" t="s">
        <v>5518</v>
      </c>
      <c r="C2932" s="2"/>
      <c r="D2932" s="2" t="s">
        <v>16</v>
      </c>
      <c r="E2932" s="4">
        <f>550.94*(1-Z1%)</f>
        <v>550.94</v>
      </c>
      <c r="F2932" s="2">
        <v>4</v>
      </c>
      <c r="G2932" s="2"/>
    </row>
    <row r="2933" spans="1:26" customHeight="1" ht="18" hidden="true" outlineLevel="3">
      <c r="A2933" s="2" t="s">
        <v>5519</v>
      </c>
      <c r="B2933" s="3" t="s">
        <v>5520</v>
      </c>
      <c r="C2933" s="2"/>
      <c r="D2933" s="2" t="s">
        <v>16</v>
      </c>
      <c r="E2933" s="4">
        <f>1207.95*(1-Z1%)</f>
        <v>1207.95</v>
      </c>
      <c r="F2933" s="2">
        <v>2</v>
      </c>
      <c r="G2933" s="2"/>
    </row>
    <row r="2934" spans="1:26" customHeight="1" ht="18" hidden="true" outlineLevel="3">
      <c r="A2934" s="2" t="s">
        <v>5521</v>
      </c>
      <c r="B2934" s="3" t="s">
        <v>5522</v>
      </c>
      <c r="C2934" s="2"/>
      <c r="D2934" s="2" t="s">
        <v>16</v>
      </c>
      <c r="E2934" s="4">
        <f>951.08*(1-Z1%)</f>
        <v>951.08</v>
      </c>
      <c r="F2934" s="2">
        <v>1</v>
      </c>
      <c r="G2934" s="2"/>
    </row>
    <row r="2935" spans="1:26" customHeight="1" ht="18" hidden="true" outlineLevel="3">
      <c r="A2935" s="2" t="s">
        <v>5523</v>
      </c>
      <c r="B2935" s="3" t="s">
        <v>5524</v>
      </c>
      <c r="C2935" s="2"/>
      <c r="D2935" s="2" t="s">
        <v>16</v>
      </c>
      <c r="E2935" s="4">
        <f>311.54*(1-Z1%)</f>
        <v>311.54</v>
      </c>
      <c r="F2935" s="2">
        <v>2</v>
      </c>
      <c r="G2935" s="2"/>
    </row>
    <row r="2936" spans="1:26" customHeight="1" ht="18" hidden="true" outlineLevel="3">
      <c r="A2936" s="2" t="s">
        <v>5525</v>
      </c>
      <c r="B2936" s="3" t="s">
        <v>5526</v>
      </c>
      <c r="C2936" s="2"/>
      <c r="D2936" s="2" t="s">
        <v>16</v>
      </c>
      <c r="E2936" s="4">
        <f>1300.62*(1-Z1%)</f>
        <v>1300.62</v>
      </c>
      <c r="F2936" s="2">
        <v>1</v>
      </c>
      <c r="G2936" s="2"/>
    </row>
    <row r="2937" spans="1:26" customHeight="1" ht="18" hidden="true" outlineLevel="3">
      <c r="A2937" s="2" t="s">
        <v>5527</v>
      </c>
      <c r="B2937" s="3" t="s">
        <v>5528</v>
      </c>
      <c r="C2937" s="2"/>
      <c r="D2937" s="2" t="s">
        <v>16</v>
      </c>
      <c r="E2937" s="4">
        <f>1434.16*(1-Z1%)</f>
        <v>1434.16</v>
      </c>
      <c r="F2937" s="2">
        <v>1</v>
      </c>
      <c r="G2937" s="2"/>
    </row>
    <row r="2938" spans="1:26" customHeight="1" ht="35" hidden="true" outlineLevel="3">
      <c r="A2938" s="5" t="s">
        <v>5529</v>
      </c>
      <c r="B2938" s="5"/>
      <c r="C2938" s="5"/>
      <c r="D2938" s="5"/>
      <c r="E2938" s="5"/>
      <c r="F2938" s="5"/>
      <c r="G2938" s="5"/>
    </row>
    <row r="2939" spans="1:26" customHeight="1" ht="36" hidden="true" outlineLevel="3">
      <c r="A2939" s="2" t="s">
        <v>5530</v>
      </c>
      <c r="B2939" s="3" t="s">
        <v>5531</v>
      </c>
      <c r="C2939" s="2"/>
      <c r="D2939" s="2" t="s">
        <v>16</v>
      </c>
      <c r="E2939" s="4">
        <f>1200.74*(1-Z1%)</f>
        <v>1200.74</v>
      </c>
      <c r="F2939" s="2">
        <v>1</v>
      </c>
      <c r="G2939" s="2"/>
    </row>
    <row r="2940" spans="1:26" customHeight="1" ht="35" hidden="true" outlineLevel="3">
      <c r="A2940" s="5" t="s">
        <v>5532</v>
      </c>
      <c r="B2940" s="5"/>
      <c r="C2940" s="5"/>
      <c r="D2940" s="5"/>
      <c r="E2940" s="5"/>
      <c r="F2940" s="5"/>
      <c r="G2940" s="5"/>
    </row>
    <row r="2941" spans="1:26" customHeight="1" ht="18" hidden="true" outlineLevel="3">
      <c r="A2941" s="2" t="s">
        <v>5533</v>
      </c>
      <c r="B2941" s="3" t="s">
        <v>5534</v>
      </c>
      <c r="C2941" s="2"/>
      <c r="D2941" s="2" t="s">
        <v>16</v>
      </c>
      <c r="E2941" s="4">
        <f>262.49*(1-Z1%)</f>
        <v>262.49</v>
      </c>
      <c r="F2941" s="2">
        <v>8</v>
      </c>
      <c r="G2941" s="2"/>
    </row>
    <row r="2942" spans="1:26" customHeight="1" ht="18" hidden="true" outlineLevel="3">
      <c r="A2942" s="2" t="s">
        <v>5535</v>
      </c>
      <c r="B2942" s="3" t="s">
        <v>5536</v>
      </c>
      <c r="C2942" s="2"/>
      <c r="D2942" s="2" t="s">
        <v>16</v>
      </c>
      <c r="E2942" s="4">
        <f>323.30*(1-Z1%)</f>
        <v>323.3</v>
      </c>
      <c r="F2942" s="2">
        <v>1</v>
      </c>
      <c r="G2942" s="2"/>
    </row>
    <row r="2943" spans="1:26" customHeight="1" ht="35" hidden="true" outlineLevel="3">
      <c r="A2943" s="5" t="s">
        <v>5537</v>
      </c>
      <c r="B2943" s="5"/>
      <c r="C2943" s="5"/>
      <c r="D2943" s="5"/>
      <c r="E2943" s="5"/>
      <c r="F2943" s="5"/>
      <c r="G2943" s="5"/>
    </row>
    <row r="2944" spans="1:26" customHeight="1" ht="18" hidden="true" outlineLevel="3">
      <c r="A2944" s="2" t="s">
        <v>5538</v>
      </c>
      <c r="B2944" s="3" t="s">
        <v>5539</v>
      </c>
      <c r="C2944" s="2"/>
      <c r="D2944" s="2" t="s">
        <v>16</v>
      </c>
      <c r="E2944" s="4">
        <f>37.13*(1-Z1%)</f>
        <v>37.13</v>
      </c>
      <c r="F2944" s="2">
        <v>66</v>
      </c>
      <c r="G2944" s="2"/>
    </row>
    <row r="2945" spans="1:26" customHeight="1" ht="18" hidden="true" outlineLevel="3">
      <c r="A2945" s="2" t="s">
        <v>5540</v>
      </c>
      <c r="B2945" s="3" t="s">
        <v>5541</v>
      </c>
      <c r="C2945" s="2"/>
      <c r="D2945" s="2" t="s">
        <v>16</v>
      </c>
      <c r="E2945" s="4">
        <f>103.19*(1-Z1%)</f>
        <v>103.19</v>
      </c>
      <c r="F2945" s="2">
        <v>4</v>
      </c>
      <c r="G2945" s="2"/>
    </row>
    <row r="2946" spans="1:26" customHeight="1" ht="18" hidden="true" outlineLevel="3">
      <c r="A2946" s="2" t="s">
        <v>5542</v>
      </c>
      <c r="B2946" s="3" t="s">
        <v>5543</v>
      </c>
      <c r="C2946" s="2"/>
      <c r="D2946" s="2" t="s">
        <v>16</v>
      </c>
      <c r="E2946" s="4">
        <f>165.87*(1-Z1%)</f>
        <v>165.87</v>
      </c>
      <c r="F2946" s="2">
        <v>13</v>
      </c>
      <c r="G2946" s="2"/>
    </row>
    <row r="2947" spans="1:26" customHeight="1" ht="36" hidden="true" outlineLevel="3">
      <c r="A2947" s="2" t="s">
        <v>5544</v>
      </c>
      <c r="B2947" s="3" t="s">
        <v>5545</v>
      </c>
      <c r="C2947" s="2"/>
      <c r="D2947" s="2" t="s">
        <v>16</v>
      </c>
      <c r="E2947" s="4">
        <f>160.88*(1-Z1%)</f>
        <v>160.88</v>
      </c>
      <c r="F2947" s="2">
        <v>6</v>
      </c>
      <c r="G2947" s="2"/>
    </row>
    <row r="2948" spans="1:26" customHeight="1" ht="36" hidden="true" outlineLevel="3">
      <c r="A2948" s="2" t="s">
        <v>5546</v>
      </c>
      <c r="B2948" s="3" t="s">
        <v>5547</v>
      </c>
      <c r="C2948" s="2"/>
      <c r="D2948" s="2" t="s">
        <v>16</v>
      </c>
      <c r="E2948" s="4">
        <f>259.88*(1-Z1%)</f>
        <v>259.88</v>
      </c>
      <c r="F2948" s="2">
        <v>9</v>
      </c>
      <c r="G2948" s="2"/>
    </row>
    <row r="2949" spans="1:26" customHeight="1" ht="36" hidden="true" outlineLevel="3">
      <c r="A2949" s="2" t="s">
        <v>5548</v>
      </c>
      <c r="B2949" s="3" t="s">
        <v>5549</v>
      </c>
      <c r="C2949" s="2"/>
      <c r="D2949" s="2" t="s">
        <v>16</v>
      </c>
      <c r="E2949" s="4">
        <f>99.00*(1-Z1%)</f>
        <v>99</v>
      </c>
      <c r="F2949" s="2">
        <v>10</v>
      </c>
      <c r="G2949" s="2"/>
    </row>
    <row r="2950" spans="1:26" customHeight="1" ht="36" hidden="true" outlineLevel="3">
      <c r="A2950" s="2" t="s">
        <v>5550</v>
      </c>
      <c r="B2950" s="3" t="s">
        <v>5551</v>
      </c>
      <c r="C2950" s="2"/>
      <c r="D2950" s="2" t="s">
        <v>16</v>
      </c>
      <c r="E2950" s="4">
        <f>74.25*(1-Z1%)</f>
        <v>74.25</v>
      </c>
      <c r="F2950" s="2">
        <v>10</v>
      </c>
      <c r="G2950" s="2"/>
    </row>
    <row r="2951" spans="1:26" customHeight="1" ht="18" hidden="true" outlineLevel="3">
      <c r="A2951" s="2" t="s">
        <v>5552</v>
      </c>
      <c r="B2951" s="3" t="s">
        <v>5553</v>
      </c>
      <c r="C2951" s="2"/>
      <c r="D2951" s="2" t="s">
        <v>16</v>
      </c>
      <c r="E2951" s="4">
        <f>59.85*(1-Z1%)</f>
        <v>59.85</v>
      </c>
      <c r="F2951" s="2">
        <v>20</v>
      </c>
      <c r="G2951" s="2"/>
    </row>
    <row r="2952" spans="1:26" customHeight="1" ht="18" hidden="true" outlineLevel="3">
      <c r="A2952" s="2" t="s">
        <v>5554</v>
      </c>
      <c r="B2952" s="3" t="s">
        <v>5555</v>
      </c>
      <c r="C2952" s="2"/>
      <c r="D2952" s="2" t="s">
        <v>16</v>
      </c>
      <c r="E2952" s="4">
        <f>118.85*(1-Z1%)</f>
        <v>118.85</v>
      </c>
      <c r="F2952" s="2">
        <v>12</v>
      </c>
      <c r="G2952" s="2"/>
    </row>
    <row r="2953" spans="1:26" customHeight="1" ht="18" hidden="true" outlineLevel="3">
      <c r="A2953" s="2" t="s">
        <v>5556</v>
      </c>
      <c r="B2953" s="3" t="s">
        <v>5557</v>
      </c>
      <c r="C2953" s="2"/>
      <c r="D2953" s="2" t="s">
        <v>16</v>
      </c>
      <c r="E2953" s="4">
        <f>74.25*(1-Z1%)</f>
        <v>74.25</v>
      </c>
      <c r="F2953" s="2">
        <v>6</v>
      </c>
      <c r="G2953" s="2"/>
    </row>
    <row r="2954" spans="1:26" customHeight="1" ht="35" hidden="true" outlineLevel="2">
      <c r="A2954" s="5" t="s">
        <v>5558</v>
      </c>
      <c r="B2954" s="5"/>
      <c r="C2954" s="5"/>
      <c r="D2954" s="5"/>
      <c r="E2954" s="5"/>
      <c r="F2954" s="5"/>
      <c r="G2954" s="5"/>
    </row>
    <row r="2955" spans="1:26" customHeight="1" ht="18" hidden="true" outlineLevel="2">
      <c r="A2955" s="2" t="s">
        <v>5559</v>
      </c>
      <c r="B2955" s="3" t="s">
        <v>5560</v>
      </c>
      <c r="C2955" s="2"/>
      <c r="D2955" s="2" t="s">
        <v>16</v>
      </c>
      <c r="E2955" s="4">
        <f>194.22*(1-Z1%)</f>
        <v>194.22</v>
      </c>
      <c r="F2955" s="2">
        <v>10</v>
      </c>
      <c r="G2955" s="2"/>
    </row>
    <row r="2956" spans="1:26" customHeight="1" ht="18" hidden="true" outlineLevel="2">
      <c r="A2956" s="2" t="s">
        <v>5561</v>
      </c>
      <c r="B2956" s="3" t="s">
        <v>5562</v>
      </c>
      <c r="C2956" s="2"/>
      <c r="D2956" s="2" t="s">
        <v>16</v>
      </c>
      <c r="E2956" s="4">
        <f>283.79*(1-Z1%)</f>
        <v>283.79</v>
      </c>
      <c r="F2956" s="2">
        <v>13</v>
      </c>
      <c r="G2956" s="2"/>
    </row>
    <row r="2957" spans="1:26" customHeight="1" ht="18" hidden="true" outlineLevel="2">
      <c r="A2957" s="2" t="s">
        <v>5563</v>
      </c>
      <c r="B2957" s="3" t="s">
        <v>5564</v>
      </c>
      <c r="C2957" s="2"/>
      <c r="D2957" s="2" t="s">
        <v>16</v>
      </c>
      <c r="E2957" s="4">
        <f>76.78*(1-Z1%)</f>
        <v>76.78</v>
      </c>
      <c r="F2957" s="2">
        <v>3</v>
      </c>
      <c r="G2957" s="2"/>
    </row>
    <row r="2958" spans="1:26" customHeight="1" ht="36" hidden="true" outlineLevel="2">
      <c r="A2958" s="2" t="s">
        <v>5565</v>
      </c>
      <c r="B2958" s="3" t="s">
        <v>5566</v>
      </c>
      <c r="C2958" s="2"/>
      <c r="D2958" s="2" t="s">
        <v>16</v>
      </c>
      <c r="E2958" s="4">
        <f>79.07*(1-Z1%)</f>
        <v>79.07</v>
      </c>
      <c r="F2958" s="2">
        <v>2</v>
      </c>
      <c r="G2958" s="2"/>
    </row>
    <row r="2959" spans="1:26" customHeight="1" ht="36" hidden="true" outlineLevel="2">
      <c r="A2959" s="2" t="s">
        <v>5567</v>
      </c>
      <c r="B2959" s="3" t="s">
        <v>5568</v>
      </c>
      <c r="C2959" s="2"/>
      <c r="D2959" s="2" t="s">
        <v>16</v>
      </c>
      <c r="E2959" s="4">
        <f>17.49*(1-Z1%)</f>
        <v>17.49</v>
      </c>
      <c r="F2959" s="2">
        <v>8</v>
      </c>
      <c r="G2959" s="2"/>
    </row>
    <row r="2960" spans="1:26" customHeight="1" ht="36" hidden="true" outlineLevel="2">
      <c r="A2960" s="2" t="s">
        <v>5569</v>
      </c>
      <c r="B2960" s="3" t="s">
        <v>5570</v>
      </c>
      <c r="C2960" s="2"/>
      <c r="D2960" s="2" t="s">
        <v>16</v>
      </c>
      <c r="E2960" s="4">
        <f>164.92*(1-Z1%)</f>
        <v>164.92</v>
      </c>
      <c r="F2960" s="2">
        <v>4</v>
      </c>
      <c r="G2960" s="2"/>
    </row>
    <row r="2961" spans="1:26" customHeight="1" ht="36" hidden="true" outlineLevel="2">
      <c r="A2961" s="2" t="s">
        <v>5571</v>
      </c>
      <c r="B2961" s="3" t="s">
        <v>5572</v>
      </c>
      <c r="C2961" s="2"/>
      <c r="D2961" s="2" t="s">
        <v>16</v>
      </c>
      <c r="E2961" s="4">
        <f>92.01*(1-Z1%)</f>
        <v>92.01</v>
      </c>
      <c r="F2961" s="2">
        <v>7</v>
      </c>
      <c r="G2961" s="2"/>
    </row>
    <row r="2962" spans="1:26" customHeight="1" ht="36" hidden="true" outlineLevel="2">
      <c r="A2962" s="2" t="s">
        <v>5573</v>
      </c>
      <c r="B2962" s="3" t="s">
        <v>5574</v>
      </c>
      <c r="C2962" s="2"/>
      <c r="D2962" s="2" t="s">
        <v>16</v>
      </c>
      <c r="E2962" s="4">
        <f>18.41*(1-Z1%)</f>
        <v>18.41</v>
      </c>
      <c r="F2962" s="2">
        <v>8</v>
      </c>
      <c r="G2962" s="2"/>
    </row>
    <row r="2963" spans="1:26" customHeight="1" ht="36" hidden="true" outlineLevel="2">
      <c r="A2963" s="2" t="s">
        <v>5575</v>
      </c>
      <c r="B2963" s="3" t="s">
        <v>5576</v>
      </c>
      <c r="C2963" s="2"/>
      <c r="D2963" s="2" t="s">
        <v>16</v>
      </c>
      <c r="E2963" s="4">
        <f>129.00*(1-Z1%)</f>
        <v>129</v>
      </c>
      <c r="F2963" s="2">
        <v>14</v>
      </c>
      <c r="G2963" s="2"/>
    </row>
    <row r="2964" spans="1:26" customHeight="1" ht="36" hidden="true" outlineLevel="2">
      <c r="A2964" s="2" t="s">
        <v>5577</v>
      </c>
      <c r="B2964" s="3" t="s">
        <v>5578</v>
      </c>
      <c r="C2964" s="2"/>
      <c r="D2964" s="2" t="s">
        <v>16</v>
      </c>
      <c r="E2964" s="4">
        <f>38.75*(1-Z1%)</f>
        <v>38.75</v>
      </c>
      <c r="F2964" s="2">
        <v>19</v>
      </c>
      <c r="G2964" s="2"/>
    </row>
    <row r="2965" spans="1:26" customHeight="1" ht="18" hidden="true" outlineLevel="2">
      <c r="A2965" s="2" t="s">
        <v>5579</v>
      </c>
      <c r="B2965" s="3" t="s">
        <v>5580</v>
      </c>
      <c r="C2965" s="2"/>
      <c r="D2965" s="2" t="s">
        <v>16</v>
      </c>
      <c r="E2965" s="4">
        <f>557.65*(1-Z1%)</f>
        <v>557.65</v>
      </c>
      <c r="F2965" s="2">
        <v>1</v>
      </c>
      <c r="G2965" s="2"/>
    </row>
    <row r="2966" spans="1:26" customHeight="1" ht="35" hidden="true" outlineLevel="2">
      <c r="A2966" s="5" t="s">
        <v>5581</v>
      </c>
      <c r="B2966" s="5"/>
      <c r="C2966" s="5"/>
      <c r="D2966" s="5"/>
      <c r="E2966" s="5"/>
      <c r="F2966" s="5"/>
      <c r="G2966" s="5"/>
    </row>
    <row r="2967" spans="1:26" customHeight="1" ht="54" hidden="true" outlineLevel="2">
      <c r="A2967" s="2" t="s">
        <v>5582</v>
      </c>
      <c r="B2967" s="3" t="s">
        <v>5583</v>
      </c>
      <c r="C2967" s="2"/>
      <c r="D2967" s="2" t="s">
        <v>16</v>
      </c>
      <c r="E2967" s="4">
        <f>578.82*(1-Z1%)</f>
        <v>578.82</v>
      </c>
      <c r="F2967" s="2">
        <v>2</v>
      </c>
      <c r="G2967" s="2"/>
    </row>
    <row r="2968" spans="1:26" customHeight="1" ht="18" hidden="true" outlineLevel="2">
      <c r="A2968" s="2" t="s">
        <v>5584</v>
      </c>
      <c r="B2968" s="3" t="s">
        <v>5481</v>
      </c>
      <c r="C2968" s="2"/>
      <c r="D2968" s="2" t="s">
        <v>16</v>
      </c>
      <c r="E2968" s="4">
        <f>597.86*(1-Z1%)</f>
        <v>597.86</v>
      </c>
      <c r="F2968" s="2">
        <v>1</v>
      </c>
      <c r="G2968" s="2"/>
    </row>
    <row r="2969" spans="1:26" customHeight="1" ht="18" hidden="true" outlineLevel="2">
      <c r="A2969" s="2" t="s">
        <v>5585</v>
      </c>
      <c r="B2969" s="3" t="s">
        <v>5586</v>
      </c>
      <c r="C2969" s="2"/>
      <c r="D2969" s="2" t="s">
        <v>16</v>
      </c>
      <c r="E2969" s="4">
        <f>949.91*(1-Z1%)</f>
        <v>949.91</v>
      </c>
      <c r="F2969" s="2">
        <v>1</v>
      </c>
      <c r="G2969" s="2"/>
    </row>
    <row r="2970" spans="1:26" customHeight="1" ht="18" hidden="true" outlineLevel="2">
      <c r="A2970" s="2" t="s">
        <v>5587</v>
      </c>
      <c r="B2970" s="3" t="s">
        <v>5588</v>
      </c>
      <c r="C2970" s="2"/>
      <c r="D2970" s="2" t="s">
        <v>16</v>
      </c>
      <c r="E2970" s="4">
        <f>429.10*(1-Z1%)</f>
        <v>429.1</v>
      </c>
      <c r="F2970" s="2">
        <v>2</v>
      </c>
      <c r="G2970" s="2"/>
    </row>
    <row r="2971" spans="1:26" customHeight="1" ht="18" hidden="true" outlineLevel="2">
      <c r="A2971" s="2" t="s">
        <v>5589</v>
      </c>
      <c r="B2971" s="3" t="s">
        <v>5590</v>
      </c>
      <c r="C2971" s="2"/>
      <c r="D2971" s="2" t="s">
        <v>16</v>
      </c>
      <c r="E2971" s="4">
        <f>441.23*(1-Z1%)</f>
        <v>441.23</v>
      </c>
      <c r="F2971" s="2">
        <v>1</v>
      </c>
      <c r="G2971" s="2"/>
    </row>
    <row r="2972" spans="1:26" customHeight="1" ht="18" hidden="true" outlineLevel="2">
      <c r="A2972" s="2" t="s">
        <v>5591</v>
      </c>
      <c r="B2972" s="3" t="s">
        <v>5592</v>
      </c>
      <c r="C2972" s="2"/>
      <c r="D2972" s="2" t="s">
        <v>16</v>
      </c>
      <c r="E2972" s="4">
        <f>443.69*(1-Z1%)</f>
        <v>443.69</v>
      </c>
      <c r="F2972" s="2">
        <v>1</v>
      </c>
      <c r="G2972" s="2"/>
    </row>
    <row r="2973" spans="1:26" customHeight="1" ht="18" hidden="true" outlineLevel="2">
      <c r="A2973" s="2" t="s">
        <v>5593</v>
      </c>
      <c r="B2973" s="3" t="s">
        <v>5594</v>
      </c>
      <c r="C2973" s="2"/>
      <c r="D2973" s="2" t="s">
        <v>16</v>
      </c>
      <c r="E2973" s="4">
        <f>721.37*(1-Z1%)</f>
        <v>721.37</v>
      </c>
      <c r="F2973" s="2">
        <v>4</v>
      </c>
      <c r="G2973" s="2"/>
    </row>
    <row r="2974" spans="1:26" customHeight="1" ht="35" hidden="true" outlineLevel="2">
      <c r="A2974" s="5" t="s">
        <v>5595</v>
      </c>
      <c r="B2974" s="5"/>
      <c r="C2974" s="5"/>
      <c r="D2974" s="5"/>
      <c r="E2974" s="5"/>
      <c r="F2974" s="5"/>
      <c r="G2974" s="5"/>
    </row>
    <row r="2975" spans="1:26" customHeight="1" ht="18" hidden="true" outlineLevel="2">
      <c r="A2975" s="2" t="s">
        <v>5596</v>
      </c>
      <c r="B2975" s="3" t="s">
        <v>5597</v>
      </c>
      <c r="C2975" s="2"/>
      <c r="D2975" s="2" t="s">
        <v>16</v>
      </c>
      <c r="E2975" s="4">
        <f>889.54*(1-Z1%)</f>
        <v>889.54</v>
      </c>
      <c r="F2975" s="2">
        <v>1</v>
      </c>
      <c r="G2975" s="2"/>
    </row>
    <row r="2976" spans="1:26" customHeight="1" ht="35">
      <c r="A2976" s="1" t="s">
        <v>5598</v>
      </c>
      <c r="B2976" s="1"/>
      <c r="C2976" s="1"/>
      <c r="D2976" s="1"/>
      <c r="E2976" s="1"/>
      <c r="F2976" s="1"/>
      <c r="G2976" s="1"/>
    </row>
    <row r="2977" spans="1:26" customHeight="1" ht="35" hidden="true" outlineLevel="2">
      <c r="A2977" s="5" t="s">
        <v>5599</v>
      </c>
      <c r="B2977" s="5"/>
      <c r="C2977" s="5"/>
      <c r="D2977" s="5"/>
      <c r="E2977" s="5"/>
      <c r="F2977" s="5"/>
      <c r="G2977" s="5"/>
    </row>
    <row r="2978" spans="1:26" customHeight="1" ht="18" hidden="true" outlineLevel="2">
      <c r="A2978" s="2" t="s">
        <v>5600</v>
      </c>
      <c r="B2978" s="3" t="s">
        <v>5601</v>
      </c>
      <c r="C2978" s="2"/>
      <c r="D2978" s="2" t="s">
        <v>16</v>
      </c>
      <c r="E2978" s="4">
        <f>1856.25*(1-Z1%)</f>
        <v>1856.25</v>
      </c>
      <c r="F2978" s="2">
        <v>6</v>
      </c>
      <c r="G2978" s="2"/>
    </row>
    <row r="2979" spans="1:26" customHeight="1" ht="35" hidden="true" outlineLevel="2">
      <c r="A2979" s="5" t="s">
        <v>5602</v>
      </c>
      <c r="B2979" s="5"/>
      <c r="C2979" s="5"/>
      <c r="D2979" s="5"/>
      <c r="E2979" s="5"/>
      <c r="F2979" s="5"/>
      <c r="G2979" s="5"/>
    </row>
    <row r="2980" spans="1:26" customHeight="1" ht="35" hidden="true" outlineLevel="3">
      <c r="A2980" s="5" t="s">
        <v>5602</v>
      </c>
      <c r="B2980" s="5"/>
      <c r="C2980" s="5"/>
      <c r="D2980" s="5"/>
      <c r="E2980" s="5"/>
      <c r="F2980" s="5"/>
      <c r="G2980" s="5"/>
    </row>
    <row r="2981" spans="1:26" customHeight="1" ht="35" hidden="true" outlineLevel="4">
      <c r="A2981" s="5" t="s">
        <v>5603</v>
      </c>
      <c r="B2981" s="5"/>
      <c r="C2981" s="5"/>
      <c r="D2981" s="5"/>
      <c r="E2981" s="5"/>
      <c r="F2981" s="5"/>
      <c r="G2981" s="5"/>
    </row>
    <row r="2982" spans="1:26" customHeight="1" ht="18" hidden="true" outlineLevel="4">
      <c r="A2982" s="2" t="s">
        <v>5604</v>
      </c>
      <c r="B2982" s="3" t="s">
        <v>5605</v>
      </c>
      <c r="C2982" s="2"/>
      <c r="D2982" s="2" t="s">
        <v>16</v>
      </c>
      <c r="E2982" s="4">
        <f>241.93*(1-Z1%)</f>
        <v>241.93</v>
      </c>
      <c r="F2982" s="2">
        <v>2</v>
      </c>
      <c r="G2982" s="2"/>
    </row>
    <row r="2983" spans="1:26" customHeight="1" ht="36" hidden="true" outlineLevel="4">
      <c r="A2983" s="2" t="s">
        <v>5606</v>
      </c>
      <c r="B2983" s="3" t="s">
        <v>5607</v>
      </c>
      <c r="C2983" s="2"/>
      <c r="D2983" s="2" t="s">
        <v>16</v>
      </c>
      <c r="E2983" s="4">
        <f>191.82*(1-Z1%)</f>
        <v>191.82</v>
      </c>
      <c r="F2983" s="2">
        <v>1</v>
      </c>
      <c r="G2983" s="2"/>
    </row>
    <row r="2984" spans="1:26" customHeight="1" ht="36" hidden="true" outlineLevel="4">
      <c r="A2984" s="2" t="s">
        <v>5608</v>
      </c>
      <c r="B2984" s="3" t="s">
        <v>5609</v>
      </c>
      <c r="C2984" s="2"/>
      <c r="D2984" s="2" t="s">
        <v>16</v>
      </c>
      <c r="E2984" s="4">
        <f>238.22*(1-Z1%)</f>
        <v>238.22</v>
      </c>
      <c r="F2984" s="2">
        <v>4</v>
      </c>
      <c r="G2984" s="2"/>
    </row>
    <row r="2985" spans="1:26" customHeight="1" ht="36" hidden="true" outlineLevel="4">
      <c r="A2985" s="2" t="s">
        <v>5610</v>
      </c>
      <c r="B2985" s="3" t="s">
        <v>5611</v>
      </c>
      <c r="C2985" s="2"/>
      <c r="D2985" s="2" t="s">
        <v>16</v>
      </c>
      <c r="E2985" s="4">
        <f>315.89*(1-Z1%)</f>
        <v>315.89</v>
      </c>
      <c r="F2985" s="2">
        <v>7</v>
      </c>
      <c r="G2985" s="2"/>
    </row>
    <row r="2986" spans="1:26" customHeight="1" ht="35" hidden="true" outlineLevel="4">
      <c r="A2986" s="5" t="s">
        <v>5612</v>
      </c>
      <c r="B2986" s="5"/>
      <c r="C2986" s="5"/>
      <c r="D2986" s="5"/>
      <c r="E2986" s="5"/>
      <c r="F2986" s="5"/>
      <c r="G2986" s="5"/>
    </row>
    <row r="2987" spans="1:26" customHeight="1" ht="18" hidden="true" outlineLevel="4">
      <c r="A2987" s="2" t="s">
        <v>5613</v>
      </c>
      <c r="B2987" s="3" t="s">
        <v>5614</v>
      </c>
      <c r="C2987" s="2"/>
      <c r="D2987" s="2" t="s">
        <v>16</v>
      </c>
      <c r="E2987" s="4">
        <f>167.07*(1-Z1%)</f>
        <v>167.07</v>
      </c>
      <c r="F2987" s="2">
        <v>1</v>
      </c>
      <c r="G2987" s="2"/>
    </row>
    <row r="2988" spans="1:26" customHeight="1" ht="18" hidden="true" outlineLevel="4">
      <c r="A2988" s="2" t="s">
        <v>5615</v>
      </c>
      <c r="B2988" s="3" t="s">
        <v>5616</v>
      </c>
      <c r="C2988" s="2"/>
      <c r="D2988" s="2" t="s">
        <v>16</v>
      </c>
      <c r="E2988" s="4">
        <f>404.63*(1-Z1%)</f>
        <v>404.63</v>
      </c>
      <c r="F2988" s="2">
        <v>1</v>
      </c>
      <c r="G2988" s="2"/>
    </row>
    <row r="2989" spans="1:26" customHeight="1" ht="36" hidden="true" outlineLevel="4">
      <c r="A2989" s="2" t="s">
        <v>5617</v>
      </c>
      <c r="B2989" s="3" t="s">
        <v>5618</v>
      </c>
      <c r="C2989" s="2"/>
      <c r="D2989" s="2" t="s">
        <v>16</v>
      </c>
      <c r="E2989" s="4">
        <f>125.58*(1-Z1%)</f>
        <v>125.58</v>
      </c>
      <c r="F2989" s="2">
        <v>1</v>
      </c>
      <c r="G2989" s="2"/>
    </row>
    <row r="2990" spans="1:26" customHeight="1" ht="36" hidden="true" outlineLevel="4">
      <c r="A2990" s="2" t="s">
        <v>5619</v>
      </c>
      <c r="B2990" s="3" t="s">
        <v>5620</v>
      </c>
      <c r="C2990" s="2"/>
      <c r="D2990" s="2" t="s">
        <v>16</v>
      </c>
      <c r="E2990" s="4">
        <f>167.44*(1-Z1%)</f>
        <v>167.44</v>
      </c>
      <c r="F2990" s="2">
        <v>1</v>
      </c>
      <c r="G2990" s="2"/>
    </row>
    <row r="2991" spans="1:26" customHeight="1" ht="36" hidden="true" outlineLevel="4">
      <c r="A2991" s="2" t="s">
        <v>5621</v>
      </c>
      <c r="B2991" s="3" t="s">
        <v>5622</v>
      </c>
      <c r="C2991" s="2"/>
      <c r="D2991" s="2" t="s">
        <v>16</v>
      </c>
      <c r="E2991" s="4">
        <f>134.89*(1-Z1%)</f>
        <v>134.89</v>
      </c>
      <c r="F2991" s="2">
        <v>5</v>
      </c>
      <c r="G2991" s="2"/>
    </row>
    <row r="2992" spans="1:26" customHeight="1" ht="35" hidden="true" outlineLevel="3">
      <c r="A2992" s="5" t="s">
        <v>5623</v>
      </c>
      <c r="B2992" s="5"/>
      <c r="C2992" s="5"/>
      <c r="D2992" s="5"/>
      <c r="E2992" s="5"/>
      <c r="F2992" s="5"/>
      <c r="G2992" s="5"/>
    </row>
    <row r="2993" spans="1:26" customHeight="1" ht="18" hidden="true" outlineLevel="3">
      <c r="A2993" s="2" t="s">
        <v>5624</v>
      </c>
      <c r="B2993" s="3" t="s">
        <v>5625</v>
      </c>
      <c r="C2993" s="2"/>
      <c r="D2993" s="2" t="s">
        <v>16</v>
      </c>
      <c r="E2993" s="4">
        <f>91.58*(1-Z1%)</f>
        <v>91.58</v>
      </c>
      <c r="F2993" s="2">
        <v>2</v>
      </c>
      <c r="G2993" s="2"/>
    </row>
    <row r="2994" spans="1:26" customHeight="1" ht="18" hidden="true" outlineLevel="3">
      <c r="A2994" s="2" t="s">
        <v>5626</v>
      </c>
      <c r="B2994" s="3" t="s">
        <v>5627</v>
      </c>
      <c r="C2994" s="2"/>
      <c r="D2994" s="2" t="s">
        <v>16</v>
      </c>
      <c r="E2994" s="4">
        <f>71.78*(1-Z1%)</f>
        <v>71.78</v>
      </c>
      <c r="F2994" s="2">
        <v>18</v>
      </c>
      <c r="G2994" s="2"/>
    </row>
    <row r="2995" spans="1:26" customHeight="1" ht="36" hidden="true" outlineLevel="3">
      <c r="A2995" s="2" t="s">
        <v>5628</v>
      </c>
      <c r="B2995" s="3" t="s">
        <v>5629</v>
      </c>
      <c r="C2995" s="2"/>
      <c r="D2995" s="2" t="s">
        <v>16</v>
      </c>
      <c r="E2995" s="4">
        <f>56.25*(1-Z1%)</f>
        <v>56.25</v>
      </c>
      <c r="F2995" s="2">
        <v>240</v>
      </c>
      <c r="G2995" s="2"/>
    </row>
    <row r="2996" spans="1:26" customHeight="1" ht="36" hidden="true" outlineLevel="3">
      <c r="A2996" s="2" t="s">
        <v>5630</v>
      </c>
      <c r="B2996" s="3" t="s">
        <v>5631</v>
      </c>
      <c r="C2996" s="2"/>
      <c r="D2996" s="2" t="s">
        <v>16</v>
      </c>
      <c r="E2996" s="4">
        <f>33.75*(1-Z1%)</f>
        <v>33.75</v>
      </c>
      <c r="F2996" s="2">
        <v>8</v>
      </c>
      <c r="G2996" s="2"/>
    </row>
    <row r="2997" spans="1:26" customHeight="1" ht="18" hidden="true" outlineLevel="3">
      <c r="A2997" s="2" t="s">
        <v>5632</v>
      </c>
      <c r="B2997" s="3" t="s">
        <v>5633</v>
      </c>
      <c r="C2997" s="2"/>
      <c r="D2997" s="2" t="s">
        <v>16</v>
      </c>
      <c r="E2997" s="4">
        <f>33.75*(1-Z1%)</f>
        <v>33.75</v>
      </c>
      <c r="F2997" s="2">
        <v>8</v>
      </c>
      <c r="G2997" s="2"/>
    </row>
    <row r="2998" spans="1:26" customHeight="1" ht="36" hidden="true" outlineLevel="3">
      <c r="A2998" s="2" t="s">
        <v>5634</v>
      </c>
      <c r="B2998" s="3" t="s">
        <v>5635</v>
      </c>
      <c r="C2998" s="2"/>
      <c r="D2998" s="2" t="s">
        <v>16</v>
      </c>
      <c r="E2998" s="4">
        <f>56.25*(1-Z1%)</f>
        <v>56.25</v>
      </c>
      <c r="F2998" s="2">
        <v>239</v>
      </c>
      <c r="G2998" s="2"/>
    </row>
    <row r="2999" spans="1:26" customHeight="1" ht="36" hidden="true" outlineLevel="3">
      <c r="A2999" s="2" t="s">
        <v>5636</v>
      </c>
      <c r="B2999" s="3" t="s">
        <v>5637</v>
      </c>
      <c r="C2999" s="2"/>
      <c r="D2999" s="2" t="s">
        <v>16</v>
      </c>
      <c r="E2999" s="4">
        <f>56.25*(1-Z1%)</f>
        <v>56.25</v>
      </c>
      <c r="F2999" s="2">
        <v>33</v>
      </c>
      <c r="G2999" s="2"/>
    </row>
    <row r="3000" spans="1:26" customHeight="1" ht="18" hidden="true" outlineLevel="3">
      <c r="A3000" s="2" t="s">
        <v>5638</v>
      </c>
      <c r="B3000" s="3" t="s">
        <v>5639</v>
      </c>
      <c r="C3000" s="2"/>
      <c r="D3000" s="2" t="s">
        <v>16</v>
      </c>
      <c r="E3000" s="4">
        <f>95.63*(1-Z1%)</f>
        <v>95.63</v>
      </c>
      <c r="F3000" s="2">
        <v>18</v>
      </c>
      <c r="G3000" s="2"/>
    </row>
    <row r="3001" spans="1:26" customHeight="1" ht="35" hidden="true" outlineLevel="2">
      <c r="A3001" s="5" t="s">
        <v>5640</v>
      </c>
      <c r="B3001" s="5"/>
      <c r="C3001" s="5"/>
      <c r="D3001" s="5"/>
      <c r="E3001" s="5"/>
      <c r="F3001" s="5"/>
      <c r="G3001" s="5"/>
    </row>
    <row r="3002" spans="1:26" customHeight="1" ht="35" hidden="true" outlineLevel="3">
      <c r="A3002" s="5" t="s">
        <v>5641</v>
      </c>
      <c r="B3002" s="5"/>
      <c r="C3002" s="5"/>
      <c r="D3002" s="5"/>
      <c r="E3002" s="5"/>
      <c r="F3002" s="5"/>
      <c r="G3002" s="5"/>
    </row>
    <row r="3003" spans="1:26" customHeight="1" ht="36" hidden="true" outlineLevel="3">
      <c r="A3003" s="2" t="s">
        <v>5642</v>
      </c>
      <c r="B3003" s="3" t="s">
        <v>5643</v>
      </c>
      <c r="C3003" s="2"/>
      <c r="D3003" s="2" t="s">
        <v>16</v>
      </c>
      <c r="E3003" s="4">
        <f>151.50*(1-Z1%)</f>
        <v>151.5</v>
      </c>
      <c r="F3003" s="2">
        <v>1</v>
      </c>
      <c r="G3003" s="2"/>
    </row>
    <row r="3004" spans="1:26" customHeight="1" ht="36" hidden="true" outlineLevel="3">
      <c r="A3004" s="2" t="s">
        <v>5644</v>
      </c>
      <c r="B3004" s="3" t="s">
        <v>5645</v>
      </c>
      <c r="C3004" s="2"/>
      <c r="D3004" s="2" t="s">
        <v>16</v>
      </c>
      <c r="E3004" s="4">
        <f>186.64*(1-Z1%)</f>
        <v>186.64</v>
      </c>
      <c r="F3004" s="2">
        <v>1</v>
      </c>
      <c r="G3004" s="2"/>
    </row>
    <row r="3005" spans="1:26" customHeight="1" ht="35" hidden="true" outlineLevel="3">
      <c r="A3005" s="5" t="s">
        <v>5646</v>
      </c>
      <c r="B3005" s="5"/>
      <c r="C3005" s="5"/>
      <c r="D3005" s="5"/>
      <c r="E3005" s="5"/>
      <c r="F3005" s="5"/>
      <c r="G3005" s="5"/>
    </row>
    <row r="3006" spans="1:26" customHeight="1" ht="36" hidden="true" outlineLevel="3">
      <c r="A3006" s="2" t="s">
        <v>5647</v>
      </c>
      <c r="B3006" s="3" t="s">
        <v>5648</v>
      </c>
      <c r="C3006" s="2"/>
      <c r="D3006" s="2" t="s">
        <v>16</v>
      </c>
      <c r="E3006" s="4">
        <f>36.23*(1-Z1%)</f>
        <v>36.23</v>
      </c>
      <c r="F3006" s="2">
        <v>11</v>
      </c>
      <c r="G3006" s="2"/>
    </row>
    <row r="3007" spans="1:26" customHeight="1" ht="18" hidden="true" outlineLevel="3">
      <c r="A3007" s="2" t="s">
        <v>5649</v>
      </c>
      <c r="B3007" s="3" t="s">
        <v>5650</v>
      </c>
      <c r="C3007" s="2"/>
      <c r="D3007" s="2" t="s">
        <v>16</v>
      </c>
      <c r="E3007" s="4">
        <f>49.16*(1-Z1%)</f>
        <v>49.16</v>
      </c>
      <c r="F3007" s="2">
        <v>7</v>
      </c>
      <c r="G3007" s="2"/>
    </row>
    <row r="3008" spans="1:26" customHeight="1" ht="36" hidden="true" outlineLevel="3">
      <c r="A3008" s="2" t="s">
        <v>5651</v>
      </c>
      <c r="B3008" s="3" t="s">
        <v>5652</v>
      </c>
      <c r="C3008" s="2"/>
      <c r="D3008" s="2" t="s">
        <v>16</v>
      </c>
      <c r="E3008" s="4">
        <f>98.33*(1-Z1%)</f>
        <v>98.33</v>
      </c>
      <c r="F3008" s="2">
        <v>15</v>
      </c>
      <c r="G3008" s="2"/>
    </row>
    <row r="3009" spans="1:26" customHeight="1" ht="18" hidden="true" outlineLevel="3">
      <c r="A3009" s="2" t="s">
        <v>5653</v>
      </c>
      <c r="B3009" s="3" t="s">
        <v>5654</v>
      </c>
      <c r="C3009" s="2"/>
      <c r="D3009" s="2" t="s">
        <v>16</v>
      </c>
      <c r="E3009" s="4">
        <f>23.29*(1-Z1%)</f>
        <v>23.29</v>
      </c>
      <c r="F3009" s="2">
        <v>4</v>
      </c>
      <c r="G3009" s="2"/>
    </row>
    <row r="3010" spans="1:26" customHeight="1" ht="18" hidden="true" outlineLevel="3">
      <c r="A3010" s="2" t="s">
        <v>5655</v>
      </c>
      <c r="B3010" s="3" t="s">
        <v>5656</v>
      </c>
      <c r="C3010" s="2"/>
      <c r="D3010" s="2" t="s">
        <v>16</v>
      </c>
      <c r="E3010" s="4">
        <f>245.81*(1-Z1%)</f>
        <v>245.81</v>
      </c>
      <c r="F3010" s="2">
        <v>2</v>
      </c>
      <c r="G3010" s="2"/>
    </row>
    <row r="3011" spans="1:26" customHeight="1" ht="35" hidden="true" outlineLevel="3">
      <c r="A3011" s="5" t="s">
        <v>5657</v>
      </c>
      <c r="B3011" s="5"/>
      <c r="C3011" s="5"/>
      <c r="D3011" s="5"/>
      <c r="E3011" s="5"/>
      <c r="F3011" s="5"/>
      <c r="G3011" s="5"/>
    </row>
    <row r="3012" spans="1:26" customHeight="1" ht="18" hidden="true" outlineLevel="3">
      <c r="A3012" s="2" t="s">
        <v>5658</v>
      </c>
      <c r="B3012" s="3" t="s">
        <v>5659</v>
      </c>
      <c r="C3012" s="2"/>
      <c r="D3012" s="2" t="s">
        <v>16</v>
      </c>
      <c r="E3012" s="4">
        <f>193.80*(1-Z1%)</f>
        <v>193.8</v>
      </c>
      <c r="F3012" s="2">
        <v>6</v>
      </c>
      <c r="G3012" s="2"/>
    </row>
    <row r="3013" spans="1:26" customHeight="1" ht="18" hidden="true" outlineLevel="3">
      <c r="A3013" s="2" t="s">
        <v>5660</v>
      </c>
      <c r="B3013" s="3" t="s">
        <v>5661</v>
      </c>
      <c r="C3013" s="2"/>
      <c r="D3013" s="2" t="s">
        <v>16</v>
      </c>
      <c r="E3013" s="4">
        <f>194.91*(1-Z1%)</f>
        <v>194.91</v>
      </c>
      <c r="F3013" s="2">
        <v>5</v>
      </c>
      <c r="G3013" s="2"/>
    </row>
    <row r="3014" spans="1:26" customHeight="1" ht="18" hidden="true" outlineLevel="3">
      <c r="A3014" s="2" t="s">
        <v>5662</v>
      </c>
      <c r="B3014" s="3" t="s">
        <v>5663</v>
      </c>
      <c r="C3014" s="2"/>
      <c r="D3014" s="2" t="s">
        <v>16</v>
      </c>
      <c r="E3014" s="4">
        <f>172.64*(1-Z1%)</f>
        <v>172.64</v>
      </c>
      <c r="F3014" s="2">
        <v>8</v>
      </c>
      <c r="G3014" s="2"/>
    </row>
    <row r="3015" spans="1:26" customHeight="1" ht="36" hidden="true" outlineLevel="3">
      <c r="A3015" s="2" t="s">
        <v>5664</v>
      </c>
      <c r="B3015" s="3" t="s">
        <v>5665</v>
      </c>
      <c r="C3015" s="2"/>
      <c r="D3015" s="2" t="s">
        <v>16</v>
      </c>
      <c r="E3015" s="4">
        <f>44.24*(1-Z1%)</f>
        <v>44.24</v>
      </c>
      <c r="F3015" s="2">
        <v>3</v>
      </c>
      <c r="G3015" s="2"/>
    </row>
    <row r="3016" spans="1:26" customHeight="1" ht="36" hidden="true" outlineLevel="3">
      <c r="A3016" s="2" t="s">
        <v>5666</v>
      </c>
      <c r="B3016" s="3" t="s">
        <v>5667</v>
      </c>
      <c r="C3016" s="2"/>
      <c r="D3016" s="2" t="s">
        <v>16</v>
      </c>
      <c r="E3016" s="4">
        <f>38.80*(1-Z1%)</f>
        <v>38.8</v>
      </c>
      <c r="F3016" s="2">
        <v>10</v>
      </c>
      <c r="G3016" s="2"/>
    </row>
    <row r="3017" spans="1:26" customHeight="1" ht="36" hidden="true" outlineLevel="3">
      <c r="A3017" s="2" t="s">
        <v>5668</v>
      </c>
      <c r="B3017" s="3" t="s">
        <v>5669</v>
      </c>
      <c r="C3017" s="2"/>
      <c r="D3017" s="2" t="s">
        <v>16</v>
      </c>
      <c r="E3017" s="4">
        <f>27.04*(1-Z1%)</f>
        <v>27.04</v>
      </c>
      <c r="F3017" s="2">
        <v>10</v>
      </c>
      <c r="G3017" s="2"/>
    </row>
    <row r="3018" spans="1:26" customHeight="1" ht="36" hidden="true" outlineLevel="3">
      <c r="A3018" s="2" t="s">
        <v>5670</v>
      </c>
      <c r="B3018" s="3" t="s">
        <v>5671</v>
      </c>
      <c r="C3018" s="2"/>
      <c r="D3018" s="2" t="s">
        <v>16</v>
      </c>
      <c r="E3018" s="4">
        <f>37.62*(1-Z1%)</f>
        <v>37.62</v>
      </c>
      <c r="F3018" s="2">
        <v>9</v>
      </c>
      <c r="G3018" s="2"/>
    </row>
    <row r="3019" spans="1:26" customHeight="1" ht="36" hidden="true" outlineLevel="3">
      <c r="A3019" s="2" t="s">
        <v>5672</v>
      </c>
      <c r="B3019" s="3" t="s">
        <v>5673</v>
      </c>
      <c r="C3019" s="2"/>
      <c r="D3019" s="2" t="s">
        <v>16</v>
      </c>
      <c r="E3019" s="4">
        <f>28.22*(1-Z1%)</f>
        <v>28.22</v>
      </c>
      <c r="F3019" s="2">
        <v>5</v>
      </c>
      <c r="G3019" s="2"/>
    </row>
    <row r="3020" spans="1:26" customHeight="1" ht="36" hidden="true" outlineLevel="3">
      <c r="A3020" s="2" t="s">
        <v>5674</v>
      </c>
      <c r="B3020" s="3" t="s">
        <v>5675</v>
      </c>
      <c r="C3020" s="2"/>
      <c r="D3020" s="2" t="s">
        <v>16</v>
      </c>
      <c r="E3020" s="4">
        <f>14.11*(1-Z1%)</f>
        <v>14.11</v>
      </c>
      <c r="F3020" s="2">
        <v>24</v>
      </c>
      <c r="G3020" s="2"/>
    </row>
    <row r="3021" spans="1:26" customHeight="1" ht="18" hidden="true" outlineLevel="3">
      <c r="A3021" s="2" t="s">
        <v>5676</v>
      </c>
      <c r="B3021" s="3" t="s">
        <v>5677</v>
      </c>
      <c r="C3021" s="2"/>
      <c r="D3021" s="2" t="s">
        <v>16</v>
      </c>
      <c r="E3021" s="4">
        <f>29.52*(1-Z1%)</f>
        <v>29.52</v>
      </c>
      <c r="F3021" s="2">
        <v>3</v>
      </c>
      <c r="G3021" s="2"/>
    </row>
    <row r="3022" spans="1:26" customHeight="1" ht="18" hidden="true" outlineLevel="3">
      <c r="A3022" s="2" t="s">
        <v>5678</v>
      </c>
      <c r="B3022" s="3" t="s">
        <v>5679</v>
      </c>
      <c r="C3022" s="2"/>
      <c r="D3022" s="2" t="s">
        <v>16</v>
      </c>
      <c r="E3022" s="4">
        <f>13.08*(1-Z1%)</f>
        <v>13.08</v>
      </c>
      <c r="F3022" s="2">
        <v>3</v>
      </c>
      <c r="G3022" s="2"/>
    </row>
    <row r="3023" spans="1:26" customHeight="1" ht="36" hidden="true" outlineLevel="3">
      <c r="A3023" s="2" t="s">
        <v>5680</v>
      </c>
      <c r="B3023" s="3" t="s">
        <v>5681</v>
      </c>
      <c r="C3023" s="2"/>
      <c r="D3023" s="2" t="s">
        <v>16</v>
      </c>
      <c r="E3023" s="4">
        <f>251.27*(1-Z1%)</f>
        <v>251.27</v>
      </c>
      <c r="F3023" s="2">
        <v>3</v>
      </c>
      <c r="G3023" s="2"/>
    </row>
    <row r="3024" spans="1:26" customHeight="1" ht="36" hidden="true" outlineLevel="3">
      <c r="A3024" s="2" t="s">
        <v>5682</v>
      </c>
      <c r="B3024" s="3" t="s">
        <v>5683</v>
      </c>
      <c r="C3024" s="2"/>
      <c r="D3024" s="2" t="s">
        <v>16</v>
      </c>
      <c r="E3024" s="4">
        <f>255.05*(1-Z1%)</f>
        <v>255.05</v>
      </c>
      <c r="F3024" s="2">
        <v>2</v>
      </c>
      <c r="G3024" s="2"/>
    </row>
    <row r="3025" spans="1:26" customHeight="1" ht="35" hidden="true" outlineLevel="2">
      <c r="A3025" s="5" t="s">
        <v>5684</v>
      </c>
      <c r="B3025" s="5"/>
      <c r="C3025" s="5"/>
      <c r="D3025" s="5"/>
      <c r="E3025" s="5"/>
      <c r="F3025" s="5"/>
      <c r="G3025" s="5"/>
    </row>
    <row r="3026" spans="1:26" customHeight="1" ht="35" hidden="true" outlineLevel="3">
      <c r="A3026" s="5" t="s">
        <v>5685</v>
      </c>
      <c r="B3026" s="5"/>
      <c r="C3026" s="5"/>
      <c r="D3026" s="5"/>
      <c r="E3026" s="5"/>
      <c r="F3026" s="5"/>
      <c r="G3026" s="5"/>
    </row>
    <row r="3027" spans="1:26" customHeight="1" ht="18" hidden="true" outlineLevel="3">
      <c r="A3027" s="2" t="s">
        <v>5686</v>
      </c>
      <c r="B3027" s="3" t="s">
        <v>5687</v>
      </c>
      <c r="C3027" s="2"/>
      <c r="D3027" s="2" t="s">
        <v>16</v>
      </c>
      <c r="E3027" s="4">
        <f>216.57*(1-Z1%)</f>
        <v>216.57</v>
      </c>
      <c r="F3027" s="2">
        <v>1</v>
      </c>
      <c r="G3027" s="2"/>
    </row>
    <row r="3028" spans="1:26" customHeight="1" ht="35" hidden="true" outlineLevel="3">
      <c r="A3028" s="5" t="s">
        <v>5688</v>
      </c>
      <c r="B3028" s="5"/>
      <c r="C3028" s="5"/>
      <c r="D3028" s="5"/>
      <c r="E3028" s="5"/>
      <c r="F3028" s="5"/>
      <c r="G3028" s="5"/>
    </row>
    <row r="3029" spans="1:26" customHeight="1" ht="18" hidden="true" outlineLevel="3">
      <c r="A3029" s="2" t="s">
        <v>5689</v>
      </c>
      <c r="B3029" s="3" t="s">
        <v>5690</v>
      </c>
      <c r="C3029" s="2"/>
      <c r="D3029" s="2" t="s">
        <v>16</v>
      </c>
      <c r="E3029" s="4">
        <f>4.76*(1-Z1%)</f>
        <v>4.76</v>
      </c>
      <c r="F3029" s="2">
        <v>2</v>
      </c>
      <c r="G3029" s="2"/>
    </row>
    <row r="3030" spans="1:26" customHeight="1" ht="36" hidden="true" outlineLevel="3">
      <c r="A3030" s="2" t="s">
        <v>5691</v>
      </c>
      <c r="B3030" s="3" t="s">
        <v>5692</v>
      </c>
      <c r="C3030" s="2"/>
      <c r="D3030" s="2" t="s">
        <v>16</v>
      </c>
      <c r="E3030" s="4">
        <f>51.73*(1-Z1%)</f>
        <v>51.73</v>
      </c>
      <c r="F3030" s="2">
        <v>1</v>
      </c>
      <c r="G3030" s="2"/>
    </row>
    <row r="3031" spans="1:26" customHeight="1" ht="35" hidden="true" outlineLevel="3">
      <c r="A3031" s="5" t="s">
        <v>5693</v>
      </c>
      <c r="B3031" s="5"/>
      <c r="C3031" s="5"/>
      <c r="D3031" s="5"/>
      <c r="E3031" s="5"/>
      <c r="F3031" s="5"/>
      <c r="G3031" s="5"/>
    </row>
    <row r="3032" spans="1:26" customHeight="1" ht="36" hidden="true" outlineLevel="3">
      <c r="A3032" s="2" t="s">
        <v>5694</v>
      </c>
      <c r="B3032" s="3" t="s">
        <v>5695</v>
      </c>
      <c r="C3032" s="2"/>
      <c r="D3032" s="2" t="s">
        <v>16</v>
      </c>
      <c r="E3032" s="4">
        <f>212.79*(1-Z1%)</f>
        <v>212.79</v>
      </c>
      <c r="F3032" s="2">
        <v>6</v>
      </c>
      <c r="G3032" s="2"/>
    </row>
    <row r="3033" spans="1:26" customHeight="1" ht="36" hidden="true" outlineLevel="3">
      <c r="A3033" s="2" t="s">
        <v>5696</v>
      </c>
      <c r="B3033" s="3" t="s">
        <v>5697</v>
      </c>
      <c r="C3033" s="2"/>
      <c r="D3033" s="2" t="s">
        <v>16</v>
      </c>
      <c r="E3033" s="4">
        <f>88.17*(1-Z1%)</f>
        <v>88.17</v>
      </c>
      <c r="F3033" s="2">
        <v>9</v>
      </c>
      <c r="G3033" s="2"/>
    </row>
    <row r="3034" spans="1:26" customHeight="1" ht="36" hidden="true" outlineLevel="3">
      <c r="A3034" s="2" t="s">
        <v>5698</v>
      </c>
      <c r="B3034" s="3" t="s">
        <v>5699</v>
      </c>
      <c r="C3034" s="2"/>
      <c r="D3034" s="2" t="s">
        <v>16</v>
      </c>
      <c r="E3034" s="4">
        <f>62.31*(1-Z1%)</f>
        <v>62.31</v>
      </c>
      <c r="F3034" s="2">
        <v>11</v>
      </c>
      <c r="G3034" s="2"/>
    </row>
    <row r="3035" spans="1:26" customHeight="1" ht="36" hidden="true" outlineLevel="3">
      <c r="A3035" s="2" t="s">
        <v>5700</v>
      </c>
      <c r="B3035" s="3" t="s">
        <v>5701</v>
      </c>
      <c r="C3035" s="2"/>
      <c r="D3035" s="2" t="s">
        <v>16</v>
      </c>
      <c r="E3035" s="4">
        <f>128.14*(1-Z1%)</f>
        <v>128.14</v>
      </c>
      <c r="F3035" s="2">
        <v>5</v>
      </c>
      <c r="G3035" s="2"/>
    </row>
    <row r="3036" spans="1:26" customHeight="1" ht="36" hidden="true" outlineLevel="3">
      <c r="A3036" s="2" t="s">
        <v>5702</v>
      </c>
      <c r="B3036" s="3" t="s">
        <v>5703</v>
      </c>
      <c r="C3036" s="2"/>
      <c r="D3036" s="2" t="s">
        <v>16</v>
      </c>
      <c r="E3036" s="4">
        <f>183.29*(1-Z1%)</f>
        <v>183.29</v>
      </c>
      <c r="F3036" s="2">
        <v>1</v>
      </c>
      <c r="G3036" s="2"/>
    </row>
    <row r="3037" spans="1:26" customHeight="1" ht="36" hidden="true" outlineLevel="3">
      <c r="A3037" s="2" t="s">
        <v>5704</v>
      </c>
      <c r="B3037" s="3" t="s">
        <v>5705</v>
      </c>
      <c r="C3037" s="2"/>
      <c r="D3037" s="2" t="s">
        <v>16</v>
      </c>
      <c r="E3037" s="4">
        <f>183.40*(1-Z1%)</f>
        <v>183.4</v>
      </c>
      <c r="F3037" s="2">
        <v>4</v>
      </c>
      <c r="G3037" s="2"/>
    </row>
    <row r="3038" spans="1:26" customHeight="1" ht="36" hidden="true" outlineLevel="3">
      <c r="A3038" s="2" t="s">
        <v>5706</v>
      </c>
      <c r="B3038" s="3" t="s">
        <v>5707</v>
      </c>
      <c r="C3038" s="2"/>
      <c r="D3038" s="2" t="s">
        <v>16</v>
      </c>
      <c r="E3038" s="4">
        <f>238.65*(1-Z1%)</f>
        <v>238.65</v>
      </c>
      <c r="F3038" s="2">
        <v>4</v>
      </c>
      <c r="G3038" s="2"/>
    </row>
    <row r="3039" spans="1:26" customHeight="1" ht="18" hidden="true" outlineLevel="3">
      <c r="A3039" s="2" t="s">
        <v>5708</v>
      </c>
      <c r="B3039" s="3" t="s">
        <v>5709</v>
      </c>
      <c r="C3039" s="2"/>
      <c r="D3039" s="2" t="s">
        <v>16</v>
      </c>
      <c r="E3039" s="4">
        <f>76.73*(1-Z1%)</f>
        <v>76.73</v>
      </c>
      <c r="F3039" s="2">
        <v>9</v>
      </c>
      <c r="G3039" s="2"/>
    </row>
    <row r="3040" spans="1:26" customHeight="1" ht="18" hidden="true" outlineLevel="3">
      <c r="A3040" s="2" t="s">
        <v>5710</v>
      </c>
      <c r="B3040" s="3" t="s">
        <v>5711</v>
      </c>
      <c r="C3040" s="2"/>
      <c r="D3040" s="2" t="s">
        <v>16</v>
      </c>
      <c r="E3040" s="4">
        <f>83.47*(1-Z1%)</f>
        <v>83.47</v>
      </c>
      <c r="F3040" s="2">
        <v>11</v>
      </c>
      <c r="G3040" s="2"/>
    </row>
    <row r="3041" spans="1:26" customHeight="1" ht="18" hidden="true" outlineLevel="3">
      <c r="A3041" s="2" t="s">
        <v>5712</v>
      </c>
      <c r="B3041" s="3" t="s">
        <v>5713</v>
      </c>
      <c r="C3041" s="2"/>
      <c r="D3041" s="2" t="s">
        <v>16</v>
      </c>
      <c r="E3041" s="4">
        <f>111.38*(1-Z1%)</f>
        <v>111.38</v>
      </c>
      <c r="F3041" s="2">
        <v>11</v>
      </c>
      <c r="G3041" s="2"/>
    </row>
    <row r="3042" spans="1:26" customHeight="1" ht="18" hidden="true" outlineLevel="3">
      <c r="A3042" s="2" t="s">
        <v>5714</v>
      </c>
      <c r="B3042" s="3" t="s">
        <v>5715</v>
      </c>
      <c r="C3042" s="2"/>
      <c r="D3042" s="2" t="s">
        <v>16</v>
      </c>
      <c r="E3042" s="4">
        <f>99.93*(1-Z1%)</f>
        <v>99.93</v>
      </c>
      <c r="F3042" s="2">
        <v>10</v>
      </c>
      <c r="G3042" s="2"/>
    </row>
    <row r="3043" spans="1:26" customHeight="1" ht="36" hidden="true" outlineLevel="3">
      <c r="A3043" s="2" t="s">
        <v>5716</v>
      </c>
      <c r="B3043" s="3" t="s">
        <v>5717</v>
      </c>
      <c r="C3043" s="2"/>
      <c r="D3043" s="2" t="s">
        <v>16</v>
      </c>
      <c r="E3043" s="4">
        <f>57.92*(1-Z1%)</f>
        <v>57.92</v>
      </c>
      <c r="F3043" s="2">
        <v>11</v>
      </c>
      <c r="G3043" s="2"/>
    </row>
    <row r="3044" spans="1:26" customHeight="1" ht="36" hidden="true" outlineLevel="3">
      <c r="A3044" s="2" t="s">
        <v>5718</v>
      </c>
      <c r="B3044" s="3" t="s">
        <v>5719</v>
      </c>
      <c r="C3044" s="2"/>
      <c r="D3044" s="2" t="s">
        <v>16</v>
      </c>
      <c r="E3044" s="4">
        <f>132.85*(1-Z1%)</f>
        <v>132.85</v>
      </c>
      <c r="F3044" s="2">
        <v>12</v>
      </c>
      <c r="G3044" s="2"/>
    </row>
    <row r="3045" spans="1:26" customHeight="1" ht="18" hidden="true" outlineLevel="3">
      <c r="A3045" s="2" t="s">
        <v>5720</v>
      </c>
      <c r="B3045" s="3" t="s">
        <v>5721</v>
      </c>
      <c r="C3045" s="2"/>
      <c r="D3045" s="2" t="s">
        <v>16</v>
      </c>
      <c r="E3045" s="4">
        <f>43.32*(1-Z1%)</f>
        <v>43.32</v>
      </c>
      <c r="F3045" s="2">
        <v>292</v>
      </c>
      <c r="G3045" s="2"/>
    </row>
    <row r="3046" spans="1:26" customHeight="1" ht="35" hidden="true" outlineLevel="3">
      <c r="A3046" s="5" t="s">
        <v>5722</v>
      </c>
      <c r="B3046" s="5"/>
      <c r="C3046" s="5"/>
      <c r="D3046" s="5"/>
      <c r="E3046" s="5"/>
      <c r="F3046" s="5"/>
      <c r="G3046" s="5"/>
    </row>
    <row r="3047" spans="1:26" customHeight="1" ht="18" hidden="true" outlineLevel="3">
      <c r="A3047" s="2" t="s">
        <v>5723</v>
      </c>
      <c r="B3047" s="3" t="s">
        <v>5724</v>
      </c>
      <c r="C3047" s="2"/>
      <c r="D3047" s="2" t="s">
        <v>16</v>
      </c>
      <c r="E3047" s="4">
        <f>59.61*(1-Z1%)</f>
        <v>59.61</v>
      </c>
      <c r="F3047" s="2">
        <v>2</v>
      </c>
      <c r="G3047" s="2"/>
    </row>
    <row r="3048" spans="1:26" customHeight="1" ht="18" hidden="true" outlineLevel="3">
      <c r="A3048" s="2" t="s">
        <v>5725</v>
      </c>
      <c r="B3048" s="3" t="s">
        <v>5726</v>
      </c>
      <c r="C3048" s="2"/>
      <c r="D3048" s="2" t="s">
        <v>16</v>
      </c>
      <c r="E3048" s="4">
        <f>64.06*(1-Z1%)</f>
        <v>64.06</v>
      </c>
      <c r="F3048" s="2">
        <v>12</v>
      </c>
      <c r="G3048" s="2"/>
    </row>
    <row r="3049" spans="1:26" customHeight="1" ht="18" hidden="true" outlineLevel="3">
      <c r="A3049" s="2" t="s">
        <v>5727</v>
      </c>
      <c r="B3049" s="3" t="s">
        <v>5728</v>
      </c>
      <c r="C3049" s="2"/>
      <c r="D3049" s="2" t="s">
        <v>16</v>
      </c>
      <c r="E3049" s="4">
        <f>70.35*(1-Z1%)</f>
        <v>70.35</v>
      </c>
      <c r="F3049" s="2">
        <v>7</v>
      </c>
      <c r="G3049" s="2"/>
    </row>
    <row r="3050" spans="1:26" customHeight="1" ht="18" hidden="true" outlineLevel="3">
      <c r="A3050" s="2" t="s">
        <v>5729</v>
      </c>
      <c r="B3050" s="3" t="s">
        <v>5730</v>
      </c>
      <c r="C3050" s="2"/>
      <c r="D3050" s="2" t="s">
        <v>16</v>
      </c>
      <c r="E3050" s="4">
        <f>78.01*(1-Z1%)</f>
        <v>78.01</v>
      </c>
      <c r="F3050" s="2">
        <v>4</v>
      </c>
      <c r="G3050" s="2"/>
    </row>
    <row r="3051" spans="1:26" customHeight="1" ht="36" hidden="true" outlineLevel="3">
      <c r="A3051" s="2" t="s">
        <v>5731</v>
      </c>
      <c r="B3051" s="3" t="s">
        <v>5732</v>
      </c>
      <c r="C3051" s="2"/>
      <c r="D3051" s="2" t="s">
        <v>16</v>
      </c>
      <c r="E3051" s="4">
        <f>244.78*(1-Z1%)</f>
        <v>244.78</v>
      </c>
      <c r="F3051" s="2">
        <v>4</v>
      </c>
      <c r="G3051" s="2"/>
    </row>
    <row r="3052" spans="1:26" customHeight="1" ht="18" hidden="true" outlineLevel="3">
      <c r="A3052" s="2" t="s">
        <v>5733</v>
      </c>
      <c r="B3052" s="3" t="s">
        <v>5734</v>
      </c>
      <c r="C3052" s="2"/>
      <c r="D3052" s="2" t="s">
        <v>16</v>
      </c>
      <c r="E3052" s="4">
        <f>572.31*(1-Z1%)</f>
        <v>572.31</v>
      </c>
      <c r="F3052" s="2">
        <v>3</v>
      </c>
      <c r="G3052" s="2"/>
    </row>
    <row r="3053" spans="1:26" customHeight="1" ht="18" hidden="true" outlineLevel="3">
      <c r="A3053" s="2" t="s">
        <v>5735</v>
      </c>
      <c r="B3053" s="3" t="s">
        <v>5736</v>
      </c>
      <c r="C3053" s="2"/>
      <c r="D3053" s="2" t="s">
        <v>16</v>
      </c>
      <c r="E3053" s="4">
        <f>390.59*(1-Z1%)</f>
        <v>390.59</v>
      </c>
      <c r="F3053" s="2">
        <v>3</v>
      </c>
      <c r="G3053" s="2"/>
    </row>
    <row r="3054" spans="1:26" customHeight="1" ht="35" hidden="true" outlineLevel="2">
      <c r="A3054" s="5" t="s">
        <v>5737</v>
      </c>
      <c r="B3054" s="5"/>
      <c r="C3054" s="5"/>
      <c r="D3054" s="5"/>
      <c r="E3054" s="5"/>
      <c r="F3054" s="5"/>
      <c r="G3054" s="5"/>
    </row>
    <row r="3055" spans="1:26" customHeight="1" ht="35" hidden="true" outlineLevel="3">
      <c r="A3055" s="5" t="s">
        <v>5738</v>
      </c>
      <c r="B3055" s="5"/>
      <c r="C3055" s="5"/>
      <c r="D3055" s="5"/>
      <c r="E3055" s="5"/>
      <c r="F3055" s="5"/>
      <c r="G3055" s="5"/>
    </row>
    <row r="3056" spans="1:26" customHeight="1" ht="18" hidden="true" outlineLevel="3">
      <c r="A3056" s="2" t="s">
        <v>5739</v>
      </c>
      <c r="B3056" s="3" t="s">
        <v>5740</v>
      </c>
      <c r="C3056" s="2"/>
      <c r="D3056" s="2" t="s">
        <v>16</v>
      </c>
      <c r="E3056" s="4">
        <f>1036.13*(1-Z1%)</f>
        <v>1036.13</v>
      </c>
      <c r="F3056" s="2">
        <v>2</v>
      </c>
      <c r="G3056" s="2"/>
    </row>
    <row r="3057" spans="1:26" customHeight="1" ht="18" hidden="true" outlineLevel="3">
      <c r="A3057" s="2" t="s">
        <v>5741</v>
      </c>
      <c r="B3057" s="3" t="s">
        <v>5742</v>
      </c>
      <c r="C3057" s="2"/>
      <c r="D3057" s="2" t="s">
        <v>16</v>
      </c>
      <c r="E3057" s="4">
        <f>2142.75*(1-Z1%)</f>
        <v>2142.75</v>
      </c>
      <c r="F3057" s="2">
        <v>1</v>
      </c>
      <c r="G3057" s="2"/>
    </row>
    <row r="3058" spans="1:26" customHeight="1" ht="18" hidden="true" outlineLevel="3">
      <c r="A3058" s="2" t="s">
        <v>5743</v>
      </c>
      <c r="B3058" s="3" t="s">
        <v>5744</v>
      </c>
      <c r="C3058" s="2"/>
      <c r="D3058" s="2" t="s">
        <v>16</v>
      </c>
      <c r="E3058" s="4">
        <f>580.76*(1-Z1%)</f>
        <v>580.76</v>
      </c>
      <c r="F3058" s="2">
        <v>2</v>
      </c>
      <c r="G3058" s="2"/>
    </row>
    <row r="3059" spans="1:26" customHeight="1" ht="18" hidden="true" outlineLevel="3">
      <c r="A3059" s="2" t="s">
        <v>5745</v>
      </c>
      <c r="B3059" s="3" t="s">
        <v>5746</v>
      </c>
      <c r="C3059" s="2"/>
      <c r="D3059" s="2" t="s">
        <v>16</v>
      </c>
      <c r="E3059" s="4">
        <f>1517.73*(1-Z1%)</f>
        <v>1517.73</v>
      </c>
      <c r="F3059" s="2">
        <v>1</v>
      </c>
      <c r="G3059" s="2"/>
    </row>
    <row r="3060" spans="1:26" customHeight="1" ht="18" hidden="true" outlineLevel="3">
      <c r="A3060" s="2" t="s">
        <v>5747</v>
      </c>
      <c r="B3060" s="3" t="s">
        <v>5748</v>
      </c>
      <c r="C3060" s="2"/>
      <c r="D3060" s="2" t="s">
        <v>16</v>
      </c>
      <c r="E3060" s="4">
        <f>1963.30*(1-Z1%)</f>
        <v>1963.3</v>
      </c>
      <c r="F3060" s="2">
        <v>1</v>
      </c>
      <c r="G3060" s="2"/>
    </row>
    <row r="3061" spans="1:26" customHeight="1" ht="18" hidden="true" outlineLevel="3">
      <c r="A3061" s="2" t="s">
        <v>5749</v>
      </c>
      <c r="B3061" s="3" t="s">
        <v>5750</v>
      </c>
      <c r="C3061" s="2"/>
      <c r="D3061" s="2" t="s">
        <v>16</v>
      </c>
      <c r="E3061" s="4">
        <f>2731.22*(1-Z1%)</f>
        <v>2731.22</v>
      </c>
      <c r="F3061" s="2">
        <v>1</v>
      </c>
      <c r="G3061" s="2"/>
    </row>
    <row r="3062" spans="1:26" customHeight="1" ht="18" hidden="true" outlineLevel="3">
      <c r="A3062" s="2" t="s">
        <v>5751</v>
      </c>
      <c r="B3062" s="3" t="s">
        <v>5752</v>
      </c>
      <c r="C3062" s="2"/>
      <c r="D3062" s="2" t="s">
        <v>16</v>
      </c>
      <c r="E3062" s="4">
        <f>525.50*(1-Z1%)</f>
        <v>525.5</v>
      </c>
      <c r="F3062" s="2">
        <v>1</v>
      </c>
      <c r="G3062" s="2"/>
    </row>
    <row r="3063" spans="1:26" customHeight="1" ht="18" hidden="true" outlineLevel="3">
      <c r="A3063" s="2" t="s">
        <v>5753</v>
      </c>
      <c r="B3063" s="3" t="s">
        <v>5754</v>
      </c>
      <c r="C3063" s="2"/>
      <c r="D3063" s="2" t="s">
        <v>16</v>
      </c>
      <c r="E3063" s="4">
        <f>1051.01*(1-Z1%)</f>
        <v>1051.01</v>
      </c>
      <c r="F3063" s="2">
        <v>1</v>
      </c>
      <c r="G3063" s="2"/>
    </row>
    <row r="3064" spans="1:26" customHeight="1" ht="18" hidden="true" outlineLevel="3">
      <c r="A3064" s="2" t="s">
        <v>5755</v>
      </c>
      <c r="B3064" s="3" t="s">
        <v>5756</v>
      </c>
      <c r="C3064" s="2"/>
      <c r="D3064" s="2" t="s">
        <v>16</v>
      </c>
      <c r="E3064" s="4">
        <f>1984.46*(1-Z1%)</f>
        <v>1984.46</v>
      </c>
      <c r="F3064" s="2">
        <v>1</v>
      </c>
      <c r="G3064" s="2"/>
    </row>
    <row r="3065" spans="1:26" customHeight="1" ht="18" hidden="true" outlineLevel="3">
      <c r="A3065" s="2" t="s">
        <v>5757</v>
      </c>
      <c r="B3065" s="3" t="s">
        <v>5758</v>
      </c>
      <c r="C3065" s="2"/>
      <c r="D3065" s="2" t="s">
        <v>16</v>
      </c>
      <c r="E3065" s="4">
        <f>1454.25*(1-Z1%)</f>
        <v>1454.25</v>
      </c>
      <c r="F3065" s="2">
        <v>1</v>
      </c>
      <c r="G3065" s="2"/>
    </row>
    <row r="3066" spans="1:26" customHeight="1" ht="18" hidden="true" outlineLevel="3">
      <c r="A3066" s="2" t="s">
        <v>5759</v>
      </c>
      <c r="B3066" s="3" t="s">
        <v>5760</v>
      </c>
      <c r="C3066" s="2"/>
      <c r="D3066" s="2" t="s">
        <v>16</v>
      </c>
      <c r="E3066" s="4">
        <f>1688.20*(1-Z1%)</f>
        <v>1688.2</v>
      </c>
      <c r="F3066" s="2">
        <v>1</v>
      </c>
      <c r="G3066" s="2"/>
    </row>
    <row r="3067" spans="1:26" customHeight="1" ht="18" hidden="true" outlineLevel="3">
      <c r="A3067" s="2" t="s">
        <v>5761</v>
      </c>
      <c r="B3067" s="3" t="s">
        <v>5762</v>
      </c>
      <c r="C3067" s="2"/>
      <c r="D3067" s="2" t="s">
        <v>16</v>
      </c>
      <c r="E3067" s="4">
        <f>1995.04*(1-Z1%)</f>
        <v>1995.04</v>
      </c>
      <c r="F3067" s="2">
        <v>1</v>
      </c>
      <c r="G3067" s="2"/>
    </row>
    <row r="3068" spans="1:26" customHeight="1" ht="18" hidden="true" outlineLevel="3">
      <c r="A3068" s="2" t="s">
        <v>5763</v>
      </c>
      <c r="B3068" s="3" t="s">
        <v>5764</v>
      </c>
      <c r="C3068" s="2"/>
      <c r="D3068" s="2" t="s">
        <v>16</v>
      </c>
      <c r="E3068" s="4">
        <f>672.49*(1-Z1%)</f>
        <v>672.49</v>
      </c>
      <c r="F3068" s="2">
        <v>2</v>
      </c>
      <c r="G3068" s="2"/>
    </row>
    <row r="3069" spans="1:26" customHeight="1" ht="18" hidden="true" outlineLevel="3">
      <c r="A3069" s="2" t="s">
        <v>5765</v>
      </c>
      <c r="B3069" s="3" t="s">
        <v>5766</v>
      </c>
      <c r="C3069" s="2"/>
      <c r="D3069" s="2" t="s">
        <v>16</v>
      </c>
      <c r="E3069" s="4">
        <f>801.59*(1-Z1%)</f>
        <v>801.59</v>
      </c>
      <c r="F3069" s="2">
        <v>1</v>
      </c>
      <c r="G3069" s="2"/>
    </row>
    <row r="3070" spans="1:26" customHeight="1" ht="18" hidden="true" outlineLevel="3">
      <c r="A3070" s="2" t="s">
        <v>5767</v>
      </c>
      <c r="B3070" s="3" t="s">
        <v>5768</v>
      </c>
      <c r="C3070" s="2"/>
      <c r="D3070" s="2" t="s">
        <v>16</v>
      </c>
      <c r="E3070" s="4">
        <f>1547.91*(1-Z1%)</f>
        <v>1547.91</v>
      </c>
      <c r="F3070" s="2">
        <v>2</v>
      </c>
      <c r="G3070" s="2"/>
    </row>
    <row r="3071" spans="1:26" customHeight="1" ht="18" hidden="true" outlineLevel="3">
      <c r="A3071" s="2" t="s">
        <v>5769</v>
      </c>
      <c r="B3071" s="3" t="s">
        <v>5768</v>
      </c>
      <c r="C3071" s="2"/>
      <c r="D3071" s="2" t="s">
        <v>16</v>
      </c>
      <c r="E3071" s="4">
        <f>1661.72*(1-Z1%)</f>
        <v>1661.72</v>
      </c>
      <c r="F3071" s="2">
        <v>1</v>
      </c>
      <c r="G3071" s="2"/>
    </row>
    <row r="3072" spans="1:26" customHeight="1" ht="18" hidden="true" outlineLevel="3">
      <c r="A3072" s="2" t="s">
        <v>5770</v>
      </c>
      <c r="B3072" s="3" t="s">
        <v>5771</v>
      </c>
      <c r="C3072" s="2"/>
      <c r="D3072" s="2" t="s">
        <v>16</v>
      </c>
      <c r="E3072" s="4">
        <f>572.53*(1-Z1%)</f>
        <v>572.53</v>
      </c>
      <c r="F3072" s="2">
        <v>2</v>
      </c>
      <c r="G3072" s="2"/>
    </row>
    <row r="3073" spans="1:26" customHeight="1" ht="18" hidden="true" outlineLevel="3">
      <c r="A3073" s="2" t="s">
        <v>5772</v>
      </c>
      <c r="B3073" s="3" t="s">
        <v>5773</v>
      </c>
      <c r="C3073" s="2"/>
      <c r="D3073" s="2" t="s">
        <v>16</v>
      </c>
      <c r="E3073" s="4">
        <f>1659.99*(1-Z1%)</f>
        <v>1659.99</v>
      </c>
      <c r="F3073" s="2">
        <v>1</v>
      </c>
      <c r="G3073" s="2"/>
    </row>
    <row r="3074" spans="1:26" customHeight="1" ht="18" hidden="true" outlineLevel="3">
      <c r="A3074" s="2" t="s">
        <v>5774</v>
      </c>
      <c r="B3074" s="3" t="s">
        <v>5775</v>
      </c>
      <c r="C3074" s="2"/>
      <c r="D3074" s="2" t="s">
        <v>16</v>
      </c>
      <c r="E3074" s="4">
        <f>1901.50*(1-Z1%)</f>
        <v>1901.5</v>
      </c>
      <c r="F3074" s="2">
        <v>3</v>
      </c>
      <c r="G3074" s="2"/>
    </row>
    <row r="3075" spans="1:26" customHeight="1" ht="35" hidden="true" outlineLevel="3">
      <c r="A3075" s="5" t="s">
        <v>5776</v>
      </c>
      <c r="B3075" s="5"/>
      <c r="C3075" s="5"/>
      <c r="D3075" s="5"/>
      <c r="E3075" s="5"/>
      <c r="F3075" s="5"/>
      <c r="G3075" s="5"/>
    </row>
    <row r="3076" spans="1:26" customHeight="1" ht="36" hidden="true" outlineLevel="3">
      <c r="A3076" s="2" t="s">
        <v>5777</v>
      </c>
      <c r="B3076" s="3" t="s">
        <v>5778</v>
      </c>
      <c r="C3076" s="2"/>
      <c r="D3076" s="2" t="s">
        <v>16</v>
      </c>
      <c r="E3076" s="4">
        <f>928.16*(1-Z1%)</f>
        <v>928.16</v>
      </c>
      <c r="F3076" s="2">
        <v>2</v>
      </c>
      <c r="G3076" s="2"/>
    </row>
    <row r="3077" spans="1:26" customHeight="1" ht="18" hidden="true" outlineLevel="3">
      <c r="A3077" s="2" t="s">
        <v>5779</v>
      </c>
      <c r="B3077" s="3" t="s">
        <v>5780</v>
      </c>
      <c r="C3077" s="2"/>
      <c r="D3077" s="2" t="s">
        <v>16</v>
      </c>
      <c r="E3077" s="4">
        <f>1039.50*(1-Z1%)</f>
        <v>1039.5</v>
      </c>
      <c r="F3077" s="2">
        <v>6</v>
      </c>
      <c r="G3077" s="2"/>
    </row>
    <row r="3078" spans="1:26" customHeight="1" ht="18" hidden="true" outlineLevel="3">
      <c r="A3078" s="2" t="s">
        <v>5781</v>
      </c>
      <c r="B3078" s="3" t="s">
        <v>5782</v>
      </c>
      <c r="C3078" s="2"/>
      <c r="D3078" s="2" t="s">
        <v>16</v>
      </c>
      <c r="E3078" s="4">
        <f>1296.96*(1-Z1%)</f>
        <v>1296.96</v>
      </c>
      <c r="F3078" s="2">
        <v>4</v>
      </c>
      <c r="G3078" s="2"/>
    </row>
    <row r="3079" spans="1:26" customHeight="1" ht="36" hidden="true" outlineLevel="3">
      <c r="A3079" s="2" t="s">
        <v>5783</v>
      </c>
      <c r="B3079" s="3" t="s">
        <v>5784</v>
      </c>
      <c r="C3079" s="2"/>
      <c r="D3079" s="2" t="s">
        <v>16</v>
      </c>
      <c r="E3079" s="4">
        <f>830.64*(1-Z1%)</f>
        <v>830.64</v>
      </c>
      <c r="F3079" s="2">
        <v>4</v>
      </c>
      <c r="G3079" s="2"/>
    </row>
    <row r="3080" spans="1:26" customHeight="1" ht="18" hidden="true" outlineLevel="3">
      <c r="A3080" s="2" t="s">
        <v>5785</v>
      </c>
      <c r="B3080" s="3" t="s">
        <v>5786</v>
      </c>
      <c r="C3080" s="2"/>
      <c r="D3080" s="2" t="s">
        <v>16</v>
      </c>
      <c r="E3080" s="4">
        <f>520.93*(1-Z1%)</f>
        <v>520.93</v>
      </c>
      <c r="F3080" s="2">
        <v>1</v>
      </c>
      <c r="G3080" s="2"/>
    </row>
    <row r="3081" spans="1:26" customHeight="1" ht="18" hidden="true" outlineLevel="3">
      <c r="A3081" s="2" t="s">
        <v>5787</v>
      </c>
      <c r="B3081" s="3" t="s">
        <v>5788</v>
      </c>
      <c r="C3081" s="2"/>
      <c r="D3081" s="2" t="s">
        <v>16</v>
      </c>
      <c r="E3081" s="4">
        <f>1154.30*(1-Z1%)</f>
        <v>1154.3</v>
      </c>
      <c r="F3081" s="2">
        <v>2</v>
      </c>
      <c r="G3081" s="2"/>
    </row>
    <row r="3082" spans="1:26" customHeight="1" ht="18" hidden="true" outlineLevel="3">
      <c r="A3082" s="2" t="s">
        <v>5789</v>
      </c>
      <c r="B3082" s="3" t="s">
        <v>5790</v>
      </c>
      <c r="C3082" s="2"/>
      <c r="D3082" s="2" t="s">
        <v>16</v>
      </c>
      <c r="E3082" s="4">
        <f>250.26*(1-Z1%)</f>
        <v>250.26</v>
      </c>
      <c r="F3082" s="2">
        <v>4</v>
      </c>
      <c r="G3082" s="2"/>
    </row>
    <row r="3083" spans="1:26" customHeight="1" ht="36" hidden="true" outlineLevel="3">
      <c r="A3083" s="2" t="s">
        <v>5791</v>
      </c>
      <c r="B3083" s="3" t="s">
        <v>5792</v>
      </c>
      <c r="C3083" s="2"/>
      <c r="D3083" s="2" t="s">
        <v>16</v>
      </c>
      <c r="E3083" s="4">
        <f>538.16*(1-Z1%)</f>
        <v>538.16</v>
      </c>
      <c r="F3083" s="2">
        <v>1</v>
      </c>
      <c r="G3083" s="2"/>
    </row>
    <row r="3084" spans="1:26" customHeight="1" ht="36" hidden="true" outlineLevel="3">
      <c r="A3084" s="2" t="s">
        <v>5793</v>
      </c>
      <c r="B3084" s="3" t="s">
        <v>5794</v>
      </c>
      <c r="C3084" s="2"/>
      <c r="D3084" s="2" t="s">
        <v>16</v>
      </c>
      <c r="E3084" s="4">
        <f>730.02*(1-Z1%)</f>
        <v>730.02</v>
      </c>
      <c r="F3084" s="2">
        <v>4</v>
      </c>
      <c r="G3084" s="2"/>
    </row>
    <row r="3085" spans="1:26" customHeight="1" ht="18" hidden="true" outlineLevel="3">
      <c r="A3085" s="2" t="s">
        <v>5795</v>
      </c>
      <c r="B3085" s="3" t="s">
        <v>5796</v>
      </c>
      <c r="C3085" s="2"/>
      <c r="D3085" s="2" t="s">
        <v>16</v>
      </c>
      <c r="E3085" s="4">
        <f>625.50*(1-Z1%)</f>
        <v>625.5</v>
      </c>
      <c r="F3085" s="2">
        <v>2</v>
      </c>
      <c r="G3085" s="2"/>
    </row>
    <row r="3086" spans="1:26" customHeight="1" ht="18" hidden="true" outlineLevel="3">
      <c r="A3086" s="2" t="s">
        <v>5797</v>
      </c>
      <c r="B3086" s="3" t="s">
        <v>5798</v>
      </c>
      <c r="C3086" s="2"/>
      <c r="D3086" s="2" t="s">
        <v>16</v>
      </c>
      <c r="E3086" s="4">
        <f>387.15*(1-Z1%)</f>
        <v>387.15</v>
      </c>
      <c r="F3086" s="2">
        <v>10</v>
      </c>
      <c r="G3086" s="2"/>
    </row>
    <row r="3087" spans="1:26" customHeight="1" ht="18" hidden="true" outlineLevel="3">
      <c r="A3087" s="2" t="s">
        <v>5799</v>
      </c>
      <c r="B3087" s="3" t="s">
        <v>5800</v>
      </c>
      <c r="C3087" s="2"/>
      <c r="D3087" s="2" t="s">
        <v>16</v>
      </c>
      <c r="E3087" s="4">
        <f>972.76*(1-Z1%)</f>
        <v>972.76</v>
      </c>
      <c r="F3087" s="2">
        <v>2</v>
      </c>
      <c r="G3087" s="2"/>
    </row>
    <row r="3088" spans="1:26" customHeight="1" ht="18" hidden="true" outlineLevel="3">
      <c r="A3088" s="2" t="s">
        <v>5801</v>
      </c>
      <c r="B3088" s="3" t="s">
        <v>5802</v>
      </c>
      <c r="C3088" s="2"/>
      <c r="D3088" s="2" t="s">
        <v>16</v>
      </c>
      <c r="E3088" s="4">
        <f>497.85*(1-Z1%)</f>
        <v>497.85</v>
      </c>
      <c r="F3088" s="2">
        <v>2</v>
      </c>
      <c r="G3088" s="2"/>
    </row>
    <row r="3089" spans="1:26" customHeight="1" ht="36" hidden="true" outlineLevel="3">
      <c r="A3089" s="2" t="s">
        <v>5803</v>
      </c>
      <c r="B3089" s="3" t="s">
        <v>5804</v>
      </c>
      <c r="C3089" s="2"/>
      <c r="D3089" s="2" t="s">
        <v>16</v>
      </c>
      <c r="E3089" s="4">
        <f>125.22*(1-Z1%)</f>
        <v>125.22</v>
      </c>
      <c r="F3089" s="2">
        <v>1</v>
      </c>
      <c r="G3089" s="2"/>
    </row>
    <row r="3090" spans="1:26" customHeight="1" ht="18" hidden="true" outlineLevel="3">
      <c r="A3090" s="2" t="s">
        <v>5805</v>
      </c>
      <c r="B3090" s="3" t="s">
        <v>5806</v>
      </c>
      <c r="C3090" s="2"/>
      <c r="D3090" s="2" t="s">
        <v>16</v>
      </c>
      <c r="E3090" s="4">
        <f>399.39*(1-Z1%)</f>
        <v>399.39</v>
      </c>
      <c r="F3090" s="2">
        <v>6</v>
      </c>
      <c r="G3090" s="2"/>
    </row>
    <row r="3091" spans="1:26" customHeight="1" ht="18" hidden="true" outlineLevel="3">
      <c r="A3091" s="2" t="s">
        <v>5807</v>
      </c>
      <c r="B3091" s="3" t="s">
        <v>5808</v>
      </c>
      <c r="C3091" s="2"/>
      <c r="D3091" s="2" t="s">
        <v>16</v>
      </c>
      <c r="E3091" s="4">
        <f>370.93*(1-Z1%)</f>
        <v>370.93</v>
      </c>
      <c r="F3091" s="2">
        <v>2</v>
      </c>
      <c r="G3091" s="2"/>
    </row>
    <row r="3092" spans="1:26" customHeight="1" ht="35" hidden="true" outlineLevel="3">
      <c r="A3092" s="5" t="s">
        <v>5809</v>
      </c>
      <c r="B3092" s="5"/>
      <c r="C3092" s="5"/>
      <c r="D3092" s="5"/>
      <c r="E3092" s="5"/>
      <c r="F3092" s="5"/>
      <c r="G3092" s="5"/>
    </row>
    <row r="3093" spans="1:26" customHeight="1" ht="18" hidden="true" outlineLevel="3">
      <c r="A3093" s="2" t="s">
        <v>5810</v>
      </c>
      <c r="B3093" s="3" t="s">
        <v>5811</v>
      </c>
      <c r="C3093" s="2"/>
      <c r="D3093" s="2" t="s">
        <v>16</v>
      </c>
      <c r="E3093" s="4">
        <f>1156.63*(1-Z1%)</f>
        <v>1156.63</v>
      </c>
      <c r="F3093" s="2">
        <v>3</v>
      </c>
      <c r="G3093" s="2"/>
    </row>
    <row r="3094" spans="1:26" customHeight="1" ht="18" hidden="true" outlineLevel="3">
      <c r="A3094" s="2" t="s">
        <v>5812</v>
      </c>
      <c r="B3094" s="3" t="s">
        <v>5813</v>
      </c>
      <c r="C3094" s="2"/>
      <c r="D3094" s="2" t="s">
        <v>16</v>
      </c>
      <c r="E3094" s="4">
        <f>812.75*(1-Z1%)</f>
        <v>812.75</v>
      </c>
      <c r="F3094" s="2">
        <v>2</v>
      </c>
      <c r="G3094" s="2"/>
    </row>
    <row r="3095" spans="1:26" customHeight="1" ht="36" hidden="true" outlineLevel="3">
      <c r="A3095" s="2" t="s">
        <v>5814</v>
      </c>
      <c r="B3095" s="3" t="s">
        <v>5815</v>
      </c>
      <c r="C3095" s="2"/>
      <c r="D3095" s="2" t="s">
        <v>16</v>
      </c>
      <c r="E3095" s="4">
        <f>1011.35*(1-Z1%)</f>
        <v>1011.35</v>
      </c>
      <c r="F3095" s="2">
        <v>3</v>
      </c>
      <c r="G3095" s="2"/>
    </row>
    <row r="3096" spans="1:26" customHeight="1" ht="18" hidden="true" outlineLevel="3">
      <c r="A3096" s="2" t="s">
        <v>5816</v>
      </c>
      <c r="B3096" s="3" t="s">
        <v>5817</v>
      </c>
      <c r="C3096" s="2"/>
      <c r="D3096" s="2" t="s">
        <v>16</v>
      </c>
      <c r="E3096" s="4">
        <f>628.20*(1-Z1%)</f>
        <v>628.2</v>
      </c>
      <c r="F3096" s="2">
        <v>1</v>
      </c>
      <c r="G3096" s="2"/>
    </row>
    <row r="3097" spans="1:26" customHeight="1" ht="36" hidden="true" outlineLevel="3">
      <c r="A3097" s="2" t="s">
        <v>5818</v>
      </c>
      <c r="B3097" s="3" t="s">
        <v>5819</v>
      </c>
      <c r="C3097" s="2"/>
      <c r="D3097" s="2" t="s">
        <v>16</v>
      </c>
      <c r="E3097" s="4">
        <f>1549.56*(1-Z1%)</f>
        <v>1549.56</v>
      </c>
      <c r="F3097" s="2">
        <v>1</v>
      </c>
      <c r="G3097" s="2"/>
    </row>
    <row r="3098" spans="1:26" customHeight="1" ht="18" hidden="true" outlineLevel="3">
      <c r="A3098" s="2" t="s">
        <v>5820</v>
      </c>
      <c r="B3098" s="3" t="s">
        <v>5821</v>
      </c>
      <c r="C3098" s="2"/>
      <c r="D3098" s="2" t="s">
        <v>16</v>
      </c>
      <c r="E3098" s="4">
        <f>1615.94*(1-Z1%)</f>
        <v>1615.94</v>
      </c>
      <c r="F3098" s="2">
        <v>1</v>
      </c>
      <c r="G3098" s="2"/>
    </row>
    <row r="3099" spans="1:26" customHeight="1" ht="35" hidden="true" outlineLevel="3">
      <c r="A3099" s="5" t="s">
        <v>5822</v>
      </c>
      <c r="B3099" s="5"/>
      <c r="C3099" s="5"/>
      <c r="D3099" s="5"/>
      <c r="E3099" s="5"/>
      <c r="F3099" s="5"/>
      <c r="G3099" s="5"/>
    </row>
    <row r="3100" spans="1:26" customHeight="1" ht="36" hidden="true" outlineLevel="3">
      <c r="A3100" s="2" t="s">
        <v>5823</v>
      </c>
      <c r="B3100" s="3" t="s">
        <v>5824</v>
      </c>
      <c r="C3100" s="2"/>
      <c r="D3100" s="2" t="s">
        <v>16</v>
      </c>
      <c r="E3100" s="4">
        <f>96.41*(1-Z1%)</f>
        <v>96.41</v>
      </c>
      <c r="F3100" s="2">
        <v>10</v>
      </c>
      <c r="G3100" s="2"/>
    </row>
    <row r="3101" spans="1:26" customHeight="1" ht="18" hidden="true" outlineLevel="3">
      <c r="A3101" s="2" t="s">
        <v>5825</v>
      </c>
      <c r="B3101" s="3" t="s">
        <v>5826</v>
      </c>
      <c r="C3101" s="2"/>
      <c r="D3101" s="2" t="s">
        <v>16</v>
      </c>
      <c r="E3101" s="4">
        <f>405.59*(1-Z1%)</f>
        <v>405.59</v>
      </c>
      <c r="F3101" s="2">
        <v>2</v>
      </c>
      <c r="G3101" s="2"/>
    </row>
    <row r="3102" spans="1:26" customHeight="1" ht="36" hidden="true" outlineLevel="3">
      <c r="A3102" s="2" t="s">
        <v>5827</v>
      </c>
      <c r="B3102" s="3" t="s">
        <v>5828</v>
      </c>
      <c r="C3102" s="2"/>
      <c r="D3102" s="2" t="s">
        <v>16</v>
      </c>
      <c r="E3102" s="4">
        <f>58.79*(1-Z1%)</f>
        <v>58.79</v>
      </c>
      <c r="F3102" s="2">
        <v>2</v>
      </c>
      <c r="G3102" s="2"/>
    </row>
    <row r="3103" spans="1:26" customHeight="1" ht="36" hidden="true" outlineLevel="3">
      <c r="A3103" s="2" t="s">
        <v>5829</v>
      </c>
      <c r="B3103" s="3" t="s">
        <v>5830</v>
      </c>
      <c r="C3103" s="2"/>
      <c r="D3103" s="2" t="s">
        <v>16</v>
      </c>
      <c r="E3103" s="4">
        <f>176.99*(1-Z1%)</f>
        <v>176.99</v>
      </c>
      <c r="F3103" s="2">
        <v>3</v>
      </c>
      <c r="G3103" s="2"/>
    </row>
    <row r="3104" spans="1:26" customHeight="1" ht="36" hidden="true" outlineLevel="3">
      <c r="A3104" s="2" t="s">
        <v>5831</v>
      </c>
      <c r="B3104" s="3" t="s">
        <v>5832</v>
      </c>
      <c r="C3104" s="2"/>
      <c r="D3104" s="2" t="s">
        <v>16</v>
      </c>
      <c r="E3104" s="4">
        <f>132.74*(1-Z1%)</f>
        <v>132.74</v>
      </c>
      <c r="F3104" s="2">
        <v>2</v>
      </c>
      <c r="G3104" s="2"/>
    </row>
    <row r="3105" spans="1:26" customHeight="1" ht="18" hidden="true" outlineLevel="3">
      <c r="A3105" s="2" t="s">
        <v>5833</v>
      </c>
      <c r="B3105" s="3" t="s">
        <v>5834</v>
      </c>
      <c r="C3105" s="2"/>
      <c r="D3105" s="2" t="s">
        <v>16</v>
      </c>
      <c r="E3105" s="4">
        <f>599.20*(1-Z1%)</f>
        <v>599.2</v>
      </c>
      <c r="F3105" s="2">
        <v>3</v>
      </c>
      <c r="G3105" s="2"/>
    </row>
    <row r="3106" spans="1:26" customHeight="1" ht="36" hidden="true" outlineLevel="3">
      <c r="A3106" s="2" t="s">
        <v>5835</v>
      </c>
      <c r="B3106" s="3" t="s">
        <v>5836</v>
      </c>
      <c r="C3106" s="2"/>
      <c r="D3106" s="2" t="s">
        <v>16</v>
      </c>
      <c r="E3106" s="4">
        <f>410.98*(1-Z1%)</f>
        <v>410.98</v>
      </c>
      <c r="F3106" s="2">
        <v>1</v>
      </c>
      <c r="G3106" s="2"/>
    </row>
    <row r="3107" spans="1:26" customHeight="1" ht="18" hidden="true" outlineLevel="3">
      <c r="A3107" s="2" t="s">
        <v>5837</v>
      </c>
      <c r="B3107" s="3" t="s">
        <v>5838</v>
      </c>
      <c r="C3107" s="2"/>
      <c r="D3107" s="2" t="s">
        <v>16</v>
      </c>
      <c r="E3107" s="4">
        <f>62.31*(1-Z1%)</f>
        <v>62.31</v>
      </c>
      <c r="F3107" s="2">
        <v>4</v>
      </c>
      <c r="G3107" s="2"/>
    </row>
    <row r="3108" spans="1:26" customHeight="1" ht="35" hidden="true" outlineLevel="3">
      <c r="A3108" s="5" t="s">
        <v>5839</v>
      </c>
      <c r="B3108" s="5"/>
      <c r="C3108" s="5"/>
      <c r="D3108" s="5"/>
      <c r="E3108" s="5"/>
      <c r="F3108" s="5"/>
      <c r="G3108" s="5"/>
    </row>
    <row r="3109" spans="1:26" customHeight="1" ht="36" hidden="true" outlineLevel="3">
      <c r="A3109" s="2" t="s">
        <v>5840</v>
      </c>
      <c r="B3109" s="3" t="s">
        <v>5841</v>
      </c>
      <c r="C3109" s="2"/>
      <c r="D3109" s="2" t="s">
        <v>16</v>
      </c>
      <c r="E3109" s="4">
        <f>32.92*(1-Z1%)</f>
        <v>32.92</v>
      </c>
      <c r="F3109" s="2">
        <v>18</v>
      </c>
      <c r="G3109" s="2"/>
    </row>
    <row r="3110" spans="1:26" customHeight="1" ht="36" hidden="true" outlineLevel="3">
      <c r="A3110" s="2" t="s">
        <v>5842</v>
      </c>
      <c r="B3110" s="3" t="s">
        <v>5843</v>
      </c>
      <c r="C3110" s="2"/>
      <c r="D3110" s="2" t="s">
        <v>16</v>
      </c>
      <c r="E3110" s="4">
        <f>54.08*(1-Z1%)</f>
        <v>54.08</v>
      </c>
      <c r="F3110" s="2">
        <v>1</v>
      </c>
      <c r="G3110" s="2"/>
    </row>
    <row r="3111" spans="1:26" customHeight="1" ht="35" hidden="true" outlineLevel="3">
      <c r="A3111" s="5" t="s">
        <v>5844</v>
      </c>
      <c r="B3111" s="5"/>
      <c r="C3111" s="5"/>
      <c r="D3111" s="5"/>
      <c r="E3111" s="5"/>
      <c r="F3111" s="5"/>
      <c r="G3111" s="5"/>
    </row>
    <row r="3112" spans="1:26" customHeight="1" ht="18" hidden="true" outlineLevel="3">
      <c r="A3112" s="2" t="s">
        <v>5845</v>
      </c>
      <c r="B3112" s="3" t="s">
        <v>5846</v>
      </c>
      <c r="C3112" s="2"/>
      <c r="D3112" s="2" t="s">
        <v>16</v>
      </c>
      <c r="E3112" s="4">
        <f>99.00*(1-Z1%)</f>
        <v>99</v>
      </c>
      <c r="F3112" s="2">
        <v>1</v>
      </c>
      <c r="G3112" s="2"/>
    </row>
    <row r="3113" spans="1:26" customHeight="1" ht="35" hidden="true" outlineLevel="3">
      <c r="A3113" s="5" t="s">
        <v>5847</v>
      </c>
      <c r="B3113" s="5"/>
      <c r="C3113" s="5"/>
      <c r="D3113" s="5"/>
      <c r="E3113" s="5"/>
      <c r="F3113" s="5"/>
      <c r="G3113" s="5"/>
    </row>
    <row r="3114" spans="1:26" customHeight="1" ht="36" hidden="true" outlineLevel="3">
      <c r="A3114" s="2" t="s">
        <v>5848</v>
      </c>
      <c r="B3114" s="3" t="s">
        <v>5849</v>
      </c>
      <c r="C3114" s="2"/>
      <c r="D3114" s="2" t="s">
        <v>16</v>
      </c>
      <c r="E3114" s="4">
        <f>1035.16*(1-Z1%)</f>
        <v>1035.16</v>
      </c>
      <c r="F3114" s="2">
        <v>2</v>
      </c>
      <c r="G3114" s="2"/>
    </row>
    <row r="3115" spans="1:26" customHeight="1" ht="36" hidden="true" outlineLevel="3">
      <c r="A3115" s="2" t="s">
        <v>5850</v>
      </c>
      <c r="B3115" s="3" t="s">
        <v>5851</v>
      </c>
      <c r="C3115" s="2"/>
      <c r="D3115" s="2" t="s">
        <v>16</v>
      </c>
      <c r="E3115" s="4">
        <f>980.63*(1-Z1%)</f>
        <v>980.63</v>
      </c>
      <c r="F3115" s="2">
        <v>3</v>
      </c>
      <c r="G3115" s="2"/>
    </row>
    <row r="3116" spans="1:26" customHeight="1" ht="18" hidden="true" outlineLevel="3">
      <c r="A3116" s="2" t="s">
        <v>5852</v>
      </c>
      <c r="B3116" s="3" t="s">
        <v>5853</v>
      </c>
      <c r="C3116" s="2"/>
      <c r="D3116" s="2" t="s">
        <v>16</v>
      </c>
      <c r="E3116" s="4">
        <f>548.19*(1-Z1%)</f>
        <v>548.19</v>
      </c>
      <c r="F3116" s="2">
        <v>5</v>
      </c>
      <c r="G3116" s="2"/>
    </row>
    <row r="3117" spans="1:26" customHeight="1" ht="18" hidden="true" outlineLevel="3">
      <c r="A3117" s="2" t="s">
        <v>5854</v>
      </c>
      <c r="B3117" s="3" t="s">
        <v>5855</v>
      </c>
      <c r="C3117" s="2"/>
      <c r="D3117" s="2" t="s">
        <v>16</v>
      </c>
      <c r="E3117" s="4">
        <f>668.92*(1-Z1%)</f>
        <v>668.92</v>
      </c>
      <c r="F3117" s="2">
        <v>3</v>
      </c>
      <c r="G3117" s="2"/>
    </row>
    <row r="3118" spans="1:26" customHeight="1" ht="18" hidden="true" outlineLevel="3">
      <c r="A3118" s="2" t="s">
        <v>5856</v>
      </c>
      <c r="B3118" s="3" t="s">
        <v>5857</v>
      </c>
      <c r="C3118" s="2"/>
      <c r="D3118" s="2" t="s">
        <v>16</v>
      </c>
      <c r="E3118" s="4">
        <f>735.69*(1-Z1%)</f>
        <v>735.69</v>
      </c>
      <c r="F3118" s="2">
        <v>2</v>
      </c>
      <c r="G3118" s="2"/>
    </row>
    <row r="3119" spans="1:26" customHeight="1" ht="35" hidden="true" outlineLevel="2">
      <c r="A3119" s="5" t="s">
        <v>5858</v>
      </c>
      <c r="B3119" s="5"/>
      <c r="C3119" s="5"/>
      <c r="D3119" s="5"/>
      <c r="E3119" s="5"/>
      <c r="F3119" s="5"/>
      <c r="G3119" s="5"/>
    </row>
    <row r="3120" spans="1:26" customHeight="1" ht="35" hidden="true" outlineLevel="3">
      <c r="A3120" s="5" t="s">
        <v>5859</v>
      </c>
      <c r="B3120" s="5"/>
      <c r="C3120" s="5"/>
      <c r="D3120" s="5"/>
      <c r="E3120" s="5"/>
      <c r="F3120" s="5"/>
      <c r="G3120" s="5"/>
    </row>
    <row r="3121" spans="1:26" customHeight="1" ht="36" hidden="true" outlineLevel="3">
      <c r="A3121" s="2" t="s">
        <v>5860</v>
      </c>
      <c r="B3121" s="3" t="s">
        <v>5861</v>
      </c>
      <c r="C3121" s="2"/>
      <c r="D3121" s="2" t="s">
        <v>16</v>
      </c>
      <c r="E3121" s="4">
        <f>15.59*(1-Z1%)</f>
        <v>15.59</v>
      </c>
      <c r="F3121" s="2">
        <v>3</v>
      </c>
      <c r="G3121" s="2"/>
    </row>
    <row r="3122" spans="1:26" customHeight="1" ht="18" hidden="true" outlineLevel="3">
      <c r="A3122" s="2" t="s">
        <v>5862</v>
      </c>
      <c r="B3122" s="3" t="s">
        <v>5863</v>
      </c>
      <c r="C3122" s="2"/>
      <c r="D3122" s="2" t="s">
        <v>16</v>
      </c>
      <c r="E3122" s="4">
        <f>65.25*(1-Z1%)</f>
        <v>65.25</v>
      </c>
      <c r="F3122" s="2">
        <v>16</v>
      </c>
      <c r="G3122" s="2"/>
    </row>
    <row r="3123" spans="1:26" customHeight="1" ht="36" hidden="true" outlineLevel="3">
      <c r="A3123" s="2" t="s">
        <v>5864</v>
      </c>
      <c r="B3123" s="3" t="s">
        <v>5865</v>
      </c>
      <c r="C3123" s="2"/>
      <c r="D3123" s="2" t="s">
        <v>16</v>
      </c>
      <c r="E3123" s="4">
        <f>111.38*(1-Z1%)</f>
        <v>111.38</v>
      </c>
      <c r="F3123" s="2">
        <v>3</v>
      </c>
      <c r="G3123" s="2"/>
    </row>
    <row r="3124" spans="1:26" customHeight="1" ht="36" hidden="true" outlineLevel="3">
      <c r="A3124" s="2" t="s">
        <v>5866</v>
      </c>
      <c r="B3124" s="3" t="s">
        <v>5867</v>
      </c>
      <c r="C3124" s="2"/>
      <c r="D3124" s="2" t="s">
        <v>16</v>
      </c>
      <c r="E3124" s="4">
        <f>74.25*(1-Z1%)</f>
        <v>74.25</v>
      </c>
      <c r="F3124" s="2">
        <v>2</v>
      </c>
      <c r="G3124" s="2"/>
    </row>
    <row r="3125" spans="1:26" customHeight="1" ht="18" hidden="true" outlineLevel="3">
      <c r="A3125" s="2" t="s">
        <v>5868</v>
      </c>
      <c r="B3125" s="3" t="s">
        <v>5869</v>
      </c>
      <c r="C3125" s="2"/>
      <c r="D3125" s="2" t="s">
        <v>16</v>
      </c>
      <c r="E3125" s="4">
        <f>25.06*(1-Z1%)</f>
        <v>25.06</v>
      </c>
      <c r="F3125" s="2">
        <v>3</v>
      </c>
      <c r="G3125" s="2"/>
    </row>
    <row r="3126" spans="1:26" customHeight="1" ht="18" hidden="true" outlineLevel="3">
      <c r="A3126" s="2" t="s">
        <v>5870</v>
      </c>
      <c r="B3126" s="3" t="s">
        <v>5871</v>
      </c>
      <c r="C3126" s="2"/>
      <c r="D3126" s="2" t="s">
        <v>16</v>
      </c>
      <c r="E3126" s="4">
        <f>66.81*(1-Z1%)</f>
        <v>66.81</v>
      </c>
      <c r="F3126" s="2">
        <v>15</v>
      </c>
      <c r="G3126" s="2"/>
    </row>
    <row r="3127" spans="1:26" customHeight="1" ht="18" hidden="true" outlineLevel="3">
      <c r="A3127" s="2" t="s">
        <v>5872</v>
      </c>
      <c r="B3127" s="3" t="s">
        <v>5873</v>
      </c>
      <c r="C3127" s="2"/>
      <c r="D3127" s="2" t="s">
        <v>16</v>
      </c>
      <c r="E3127" s="4">
        <f>25.41*(1-Z1%)</f>
        <v>25.41</v>
      </c>
      <c r="F3127" s="2">
        <v>3</v>
      </c>
      <c r="G3127" s="2"/>
    </row>
    <row r="3128" spans="1:26" customHeight="1" ht="35" hidden="true" outlineLevel="3">
      <c r="A3128" s="5" t="s">
        <v>5874</v>
      </c>
      <c r="B3128" s="5"/>
      <c r="C3128" s="5"/>
      <c r="D3128" s="5"/>
      <c r="E3128" s="5"/>
      <c r="F3128" s="5"/>
      <c r="G3128" s="5"/>
    </row>
    <row r="3129" spans="1:26" customHeight="1" ht="35" hidden="true" outlineLevel="4">
      <c r="A3129" s="5" t="s">
        <v>5875</v>
      </c>
      <c r="B3129" s="5"/>
      <c r="C3129" s="5"/>
      <c r="D3129" s="5"/>
      <c r="E3129" s="5"/>
      <c r="F3129" s="5"/>
      <c r="G3129" s="5"/>
    </row>
    <row r="3130" spans="1:26" customHeight="1" ht="18" hidden="true" outlineLevel="4">
      <c r="A3130" s="2" t="s">
        <v>5876</v>
      </c>
      <c r="B3130" s="3" t="s">
        <v>5877</v>
      </c>
      <c r="C3130" s="2"/>
      <c r="D3130" s="2" t="s">
        <v>16</v>
      </c>
      <c r="E3130" s="4">
        <f>265.50*(1-Z1%)</f>
        <v>265.5</v>
      </c>
      <c r="F3130" s="2">
        <v>1</v>
      </c>
      <c r="G3130" s="2"/>
    </row>
    <row r="3131" spans="1:26" customHeight="1" ht="18" hidden="true" outlineLevel="4">
      <c r="A3131" s="2" t="s">
        <v>5878</v>
      </c>
      <c r="B3131" s="3" t="s">
        <v>5879</v>
      </c>
      <c r="C3131" s="2"/>
      <c r="D3131" s="2" t="s">
        <v>16</v>
      </c>
      <c r="E3131" s="4">
        <f>30.94*(1-Z1%)</f>
        <v>30.94</v>
      </c>
      <c r="F3131" s="2">
        <v>9</v>
      </c>
      <c r="G3131" s="2"/>
    </row>
    <row r="3132" spans="1:26" customHeight="1" ht="18" hidden="true" outlineLevel="4">
      <c r="A3132" s="2" t="s">
        <v>5880</v>
      </c>
      <c r="B3132" s="3" t="s">
        <v>5881</v>
      </c>
      <c r="C3132" s="2"/>
      <c r="D3132" s="2" t="s">
        <v>16</v>
      </c>
      <c r="E3132" s="4">
        <f>30.94*(1-Z1%)</f>
        <v>30.94</v>
      </c>
      <c r="F3132" s="2">
        <v>5</v>
      </c>
      <c r="G3132" s="2"/>
    </row>
    <row r="3133" spans="1:26" customHeight="1" ht="18" hidden="true" outlineLevel="4">
      <c r="A3133" s="2" t="s">
        <v>5882</v>
      </c>
      <c r="B3133" s="3" t="s">
        <v>5883</v>
      </c>
      <c r="C3133" s="2"/>
      <c r="D3133" s="2" t="s">
        <v>16</v>
      </c>
      <c r="E3133" s="4">
        <f>43.32*(1-Z1%)</f>
        <v>43.32</v>
      </c>
      <c r="F3133" s="2">
        <v>1</v>
      </c>
      <c r="G3133" s="2"/>
    </row>
    <row r="3134" spans="1:26" customHeight="1" ht="18" hidden="true" outlineLevel="4">
      <c r="A3134" s="2" t="s">
        <v>5884</v>
      </c>
      <c r="B3134" s="3" t="s">
        <v>5885</v>
      </c>
      <c r="C3134" s="2"/>
      <c r="D3134" s="2" t="s">
        <v>16</v>
      </c>
      <c r="E3134" s="4">
        <f>43.32*(1-Z1%)</f>
        <v>43.32</v>
      </c>
      <c r="F3134" s="2">
        <v>3</v>
      </c>
      <c r="G3134" s="2"/>
    </row>
    <row r="3135" spans="1:26" customHeight="1" ht="36" hidden="true" outlineLevel="4">
      <c r="A3135" s="2" t="s">
        <v>5886</v>
      </c>
      <c r="B3135" s="3" t="s">
        <v>5887</v>
      </c>
      <c r="C3135" s="2"/>
      <c r="D3135" s="2" t="s">
        <v>16</v>
      </c>
      <c r="E3135" s="4">
        <f>136.13*(1-Z1%)</f>
        <v>136.13</v>
      </c>
      <c r="F3135" s="2">
        <v>3</v>
      </c>
      <c r="G3135" s="2"/>
    </row>
    <row r="3136" spans="1:26" customHeight="1" ht="18" hidden="true" outlineLevel="4">
      <c r="A3136" s="2" t="s">
        <v>5888</v>
      </c>
      <c r="B3136" s="3" t="s">
        <v>5889</v>
      </c>
      <c r="C3136" s="2"/>
      <c r="D3136" s="2" t="s">
        <v>16</v>
      </c>
      <c r="E3136" s="4">
        <f>121.28*(1-Z1%)</f>
        <v>121.28</v>
      </c>
      <c r="F3136" s="2">
        <v>6</v>
      </c>
      <c r="G3136" s="2"/>
    </row>
    <row r="3137" spans="1:26" customHeight="1" ht="18" hidden="true" outlineLevel="4">
      <c r="A3137" s="2" t="s">
        <v>5890</v>
      </c>
      <c r="B3137" s="3" t="s">
        <v>5891</v>
      </c>
      <c r="C3137" s="2"/>
      <c r="D3137" s="2" t="s">
        <v>16</v>
      </c>
      <c r="E3137" s="4">
        <f>147.27*(1-Z1%)</f>
        <v>147.27</v>
      </c>
      <c r="F3137" s="2">
        <v>1</v>
      </c>
      <c r="G3137" s="2"/>
    </row>
    <row r="3138" spans="1:26" customHeight="1" ht="36" hidden="true" outlineLevel="4">
      <c r="A3138" s="2" t="s">
        <v>5892</v>
      </c>
      <c r="B3138" s="3" t="s">
        <v>5893</v>
      </c>
      <c r="C3138" s="2"/>
      <c r="D3138" s="2" t="s">
        <v>16</v>
      </c>
      <c r="E3138" s="4">
        <f>74.07*(1-Z1%)</f>
        <v>74.07</v>
      </c>
      <c r="F3138" s="2">
        <v>4</v>
      </c>
      <c r="G3138" s="2"/>
    </row>
    <row r="3139" spans="1:26" customHeight="1" ht="36" hidden="true" outlineLevel="4">
      <c r="A3139" s="2" t="s">
        <v>5894</v>
      </c>
      <c r="B3139" s="3" t="s">
        <v>5895</v>
      </c>
      <c r="C3139" s="2"/>
      <c r="D3139" s="2" t="s">
        <v>16</v>
      </c>
      <c r="E3139" s="4">
        <f>90.90*(1-Z1%)</f>
        <v>90.9</v>
      </c>
      <c r="F3139" s="2">
        <v>3</v>
      </c>
      <c r="G3139" s="2"/>
    </row>
    <row r="3140" spans="1:26" customHeight="1" ht="36" hidden="true" outlineLevel="4">
      <c r="A3140" s="2" t="s">
        <v>5896</v>
      </c>
      <c r="B3140" s="3" t="s">
        <v>5897</v>
      </c>
      <c r="C3140" s="2"/>
      <c r="D3140" s="2" t="s">
        <v>16</v>
      </c>
      <c r="E3140" s="4">
        <f>121.19*(1-Z1%)</f>
        <v>121.19</v>
      </c>
      <c r="F3140" s="2">
        <v>1</v>
      </c>
      <c r="G3140" s="2"/>
    </row>
    <row r="3141" spans="1:26" customHeight="1" ht="35" hidden="true" outlineLevel="4">
      <c r="A3141" s="5" t="s">
        <v>5898</v>
      </c>
      <c r="B3141" s="5"/>
      <c r="C3141" s="5"/>
      <c r="D3141" s="5"/>
      <c r="E3141" s="5"/>
      <c r="F3141" s="5"/>
      <c r="G3141" s="5"/>
    </row>
    <row r="3142" spans="1:26" customHeight="1" ht="18" hidden="true" outlineLevel="4">
      <c r="A3142" s="2" t="s">
        <v>5899</v>
      </c>
      <c r="B3142" s="3" t="s">
        <v>5900</v>
      </c>
      <c r="C3142" s="2"/>
      <c r="D3142" s="2" t="s">
        <v>16</v>
      </c>
      <c r="E3142" s="4">
        <f>438.96*(1-Z1%)</f>
        <v>438.96</v>
      </c>
      <c r="F3142" s="2">
        <v>1</v>
      </c>
      <c r="G3142" s="2"/>
    </row>
    <row r="3143" spans="1:26" customHeight="1" ht="18" hidden="true" outlineLevel="4">
      <c r="A3143" s="2" t="s">
        <v>5901</v>
      </c>
      <c r="B3143" s="3" t="s">
        <v>5902</v>
      </c>
      <c r="C3143" s="2"/>
      <c r="D3143" s="2" t="s">
        <v>16</v>
      </c>
      <c r="E3143" s="4">
        <f>403.13*(1-Z1%)</f>
        <v>403.13</v>
      </c>
      <c r="F3143" s="2">
        <v>1</v>
      </c>
      <c r="G3143" s="2"/>
    </row>
    <row r="3144" spans="1:26" customHeight="1" ht="18" hidden="true" outlineLevel="4">
      <c r="A3144" s="2" t="s">
        <v>5903</v>
      </c>
      <c r="B3144" s="3" t="s">
        <v>5904</v>
      </c>
      <c r="C3144" s="2"/>
      <c r="D3144" s="2" t="s">
        <v>16</v>
      </c>
      <c r="E3144" s="4">
        <f>193.67*(1-Z1%)</f>
        <v>193.67</v>
      </c>
      <c r="F3144" s="2">
        <v>9</v>
      </c>
      <c r="G3144" s="2"/>
    </row>
    <row r="3145" spans="1:26" customHeight="1" ht="35" hidden="true" outlineLevel="4">
      <c r="A3145" s="5" t="s">
        <v>5905</v>
      </c>
      <c r="B3145" s="5"/>
      <c r="C3145" s="5"/>
      <c r="D3145" s="5"/>
      <c r="E3145" s="5"/>
      <c r="F3145" s="5"/>
      <c r="G3145" s="5"/>
    </row>
    <row r="3146" spans="1:26" customHeight="1" ht="36" hidden="true" outlineLevel="4">
      <c r="A3146" s="2" t="s">
        <v>5906</v>
      </c>
      <c r="B3146" s="3" t="s">
        <v>5907</v>
      </c>
      <c r="C3146" s="2"/>
      <c r="D3146" s="2" t="s">
        <v>16</v>
      </c>
      <c r="E3146" s="4">
        <f>106.67*(1-Z1%)</f>
        <v>106.67</v>
      </c>
      <c r="F3146" s="2">
        <v>2</v>
      </c>
      <c r="G3146" s="2"/>
    </row>
    <row r="3147" spans="1:26" customHeight="1" ht="36" hidden="true" outlineLevel="4">
      <c r="A3147" s="2" t="s">
        <v>5908</v>
      </c>
      <c r="B3147" s="3" t="s">
        <v>5909</v>
      </c>
      <c r="C3147" s="2"/>
      <c r="D3147" s="2" t="s">
        <v>16</v>
      </c>
      <c r="E3147" s="4">
        <f>123.21*(1-Z1%)</f>
        <v>123.21</v>
      </c>
      <c r="F3147" s="2">
        <v>5</v>
      </c>
      <c r="G3147" s="2"/>
    </row>
    <row r="3148" spans="1:26" customHeight="1" ht="36" hidden="true" outlineLevel="4">
      <c r="A3148" s="2" t="s">
        <v>5910</v>
      </c>
      <c r="B3148" s="3" t="s">
        <v>5911</v>
      </c>
      <c r="C3148" s="2"/>
      <c r="D3148" s="2" t="s">
        <v>16</v>
      </c>
      <c r="E3148" s="4">
        <f>156.29*(1-Z1%)</f>
        <v>156.29</v>
      </c>
      <c r="F3148" s="2">
        <v>1</v>
      </c>
      <c r="G3148" s="2"/>
    </row>
    <row r="3149" spans="1:26" customHeight="1" ht="18" hidden="true" outlineLevel="4">
      <c r="A3149" s="2" t="s">
        <v>5912</v>
      </c>
      <c r="B3149" s="3" t="s">
        <v>5913</v>
      </c>
      <c r="C3149" s="2"/>
      <c r="D3149" s="2" t="s">
        <v>16</v>
      </c>
      <c r="E3149" s="4">
        <f>139.22*(1-Z1%)</f>
        <v>139.22</v>
      </c>
      <c r="F3149" s="2">
        <v>3</v>
      </c>
      <c r="G3149" s="2"/>
    </row>
    <row r="3150" spans="1:26" customHeight="1" ht="18" hidden="true" outlineLevel="4">
      <c r="A3150" s="2" t="s">
        <v>5914</v>
      </c>
      <c r="B3150" s="3" t="s">
        <v>5915</v>
      </c>
      <c r="C3150" s="2"/>
      <c r="D3150" s="2" t="s">
        <v>16</v>
      </c>
      <c r="E3150" s="4">
        <f>168.92*(1-Z1%)</f>
        <v>168.92</v>
      </c>
      <c r="F3150" s="2">
        <v>4</v>
      </c>
      <c r="G3150" s="2"/>
    </row>
    <row r="3151" spans="1:26" customHeight="1" ht="18" hidden="true" outlineLevel="4">
      <c r="A3151" s="2" t="s">
        <v>5916</v>
      </c>
      <c r="B3151" s="3" t="s">
        <v>5917</v>
      </c>
      <c r="C3151" s="2"/>
      <c r="D3151" s="2" t="s">
        <v>16</v>
      </c>
      <c r="E3151" s="4">
        <f>204.19*(1-Z1%)</f>
        <v>204.19</v>
      </c>
      <c r="F3151" s="2">
        <v>2</v>
      </c>
      <c r="G3151" s="2"/>
    </row>
    <row r="3152" spans="1:26" customHeight="1" ht="18" hidden="true" outlineLevel="4">
      <c r="A3152" s="2" t="s">
        <v>5918</v>
      </c>
      <c r="B3152" s="3" t="s">
        <v>5919</v>
      </c>
      <c r="C3152" s="2"/>
      <c r="D3152" s="2" t="s">
        <v>16</v>
      </c>
      <c r="E3152" s="4">
        <f>128.70*(1-Z1%)</f>
        <v>128.7</v>
      </c>
      <c r="F3152" s="2">
        <v>5</v>
      </c>
      <c r="G3152" s="2"/>
    </row>
    <row r="3153" spans="1:26" customHeight="1" ht="18" hidden="true" outlineLevel="4">
      <c r="A3153" s="2" t="s">
        <v>5920</v>
      </c>
      <c r="B3153" s="3" t="s">
        <v>5921</v>
      </c>
      <c r="C3153" s="2"/>
      <c r="D3153" s="2" t="s">
        <v>16</v>
      </c>
      <c r="E3153" s="4">
        <f>207.90*(1-Z1%)</f>
        <v>207.9</v>
      </c>
      <c r="F3153" s="2">
        <v>7</v>
      </c>
      <c r="G3153" s="2"/>
    </row>
    <row r="3154" spans="1:26" customHeight="1" ht="18" hidden="true" outlineLevel="4">
      <c r="A3154" s="2" t="s">
        <v>5922</v>
      </c>
      <c r="B3154" s="3" t="s">
        <v>5923</v>
      </c>
      <c r="C3154" s="2"/>
      <c r="D3154" s="2" t="s">
        <v>16</v>
      </c>
      <c r="E3154" s="4">
        <f>111.38*(1-Z1%)</f>
        <v>111.38</v>
      </c>
      <c r="F3154" s="2">
        <v>8</v>
      </c>
      <c r="G3154" s="2"/>
    </row>
    <row r="3155" spans="1:26" customHeight="1" ht="18" hidden="true" outlineLevel="4">
      <c r="A3155" s="2" t="s">
        <v>5924</v>
      </c>
      <c r="B3155" s="3" t="s">
        <v>5925</v>
      </c>
      <c r="C3155" s="2"/>
      <c r="D3155" s="2" t="s">
        <v>16</v>
      </c>
      <c r="E3155" s="4">
        <f>193.67*(1-Z1%)</f>
        <v>193.67</v>
      </c>
      <c r="F3155" s="2">
        <v>9</v>
      </c>
      <c r="G3155" s="2"/>
    </row>
    <row r="3156" spans="1:26" customHeight="1" ht="18" hidden="true" outlineLevel="4">
      <c r="A3156" s="2" t="s">
        <v>5926</v>
      </c>
      <c r="B3156" s="3" t="s">
        <v>5927</v>
      </c>
      <c r="C3156" s="2"/>
      <c r="D3156" s="2" t="s">
        <v>16</v>
      </c>
      <c r="E3156" s="4">
        <f>409.00*(1-Z1%)</f>
        <v>409</v>
      </c>
      <c r="F3156" s="2">
        <v>5</v>
      </c>
      <c r="G3156" s="2"/>
    </row>
    <row r="3157" spans="1:26" customHeight="1" ht="18" hidden="true" outlineLevel="4">
      <c r="A3157" s="2" t="s">
        <v>5928</v>
      </c>
      <c r="B3157" s="3" t="s">
        <v>5929</v>
      </c>
      <c r="C3157" s="2"/>
      <c r="D3157" s="2" t="s">
        <v>16</v>
      </c>
      <c r="E3157" s="4">
        <f>444.89*(1-Z1%)</f>
        <v>444.89</v>
      </c>
      <c r="F3157" s="2">
        <v>10</v>
      </c>
      <c r="G3157" s="2"/>
    </row>
    <row r="3158" spans="1:26" customHeight="1" ht="35" hidden="true" outlineLevel="4">
      <c r="A3158" s="5" t="s">
        <v>5930</v>
      </c>
      <c r="B3158" s="5"/>
      <c r="C3158" s="5"/>
      <c r="D3158" s="5"/>
      <c r="E3158" s="5"/>
      <c r="F3158" s="5"/>
      <c r="G3158" s="5"/>
    </row>
    <row r="3159" spans="1:26" customHeight="1" ht="18" hidden="true" outlineLevel="4">
      <c r="A3159" s="2" t="s">
        <v>5931</v>
      </c>
      <c r="B3159" s="3" t="s">
        <v>5932</v>
      </c>
      <c r="C3159" s="2"/>
      <c r="D3159" s="2" t="s">
        <v>16</v>
      </c>
      <c r="E3159" s="4">
        <f>40.22*(1-Z1%)</f>
        <v>40.22</v>
      </c>
      <c r="F3159" s="2">
        <v>11</v>
      </c>
      <c r="G3159" s="2"/>
    </row>
    <row r="3160" spans="1:26" customHeight="1" ht="18" hidden="true" outlineLevel="4">
      <c r="A3160" s="2" t="s">
        <v>5933</v>
      </c>
      <c r="B3160" s="3" t="s">
        <v>5934</v>
      </c>
      <c r="C3160" s="2"/>
      <c r="D3160" s="2" t="s">
        <v>16</v>
      </c>
      <c r="E3160" s="4">
        <f>80.44*(1-Z1%)</f>
        <v>80.44</v>
      </c>
      <c r="F3160" s="2">
        <v>6</v>
      </c>
      <c r="G3160" s="2"/>
    </row>
    <row r="3161" spans="1:26" customHeight="1" ht="18" hidden="true" outlineLevel="4">
      <c r="A3161" s="2" t="s">
        <v>5935</v>
      </c>
      <c r="B3161" s="3" t="s">
        <v>5936</v>
      </c>
      <c r="C3161" s="2"/>
      <c r="D3161" s="2" t="s">
        <v>16</v>
      </c>
      <c r="E3161" s="4">
        <f>53.22*(1-Z1%)</f>
        <v>53.22</v>
      </c>
      <c r="F3161" s="2">
        <v>1</v>
      </c>
      <c r="G3161" s="2"/>
    </row>
    <row r="3162" spans="1:26" customHeight="1" ht="18" hidden="true" outlineLevel="4">
      <c r="A3162" s="2" t="s">
        <v>5937</v>
      </c>
      <c r="B3162" s="3" t="s">
        <v>5938</v>
      </c>
      <c r="C3162" s="2"/>
      <c r="D3162" s="2" t="s">
        <v>16</v>
      </c>
      <c r="E3162" s="4">
        <f>56.93*(1-Z1%)</f>
        <v>56.93</v>
      </c>
      <c r="F3162" s="2">
        <v>5</v>
      </c>
      <c r="G3162" s="2"/>
    </row>
    <row r="3163" spans="1:26" customHeight="1" ht="35" hidden="true" outlineLevel="4">
      <c r="A3163" s="5" t="s">
        <v>5939</v>
      </c>
      <c r="B3163" s="5"/>
      <c r="C3163" s="5"/>
      <c r="D3163" s="5"/>
      <c r="E3163" s="5"/>
      <c r="F3163" s="5"/>
      <c r="G3163" s="5"/>
    </row>
    <row r="3164" spans="1:26" customHeight="1" ht="18" hidden="true" outlineLevel="4">
      <c r="A3164" s="2" t="s">
        <v>5940</v>
      </c>
      <c r="B3164" s="3" t="s">
        <v>5941</v>
      </c>
      <c r="C3164" s="2"/>
      <c r="D3164" s="2" t="s">
        <v>16</v>
      </c>
      <c r="E3164" s="4">
        <f>105.81*(1-Z1%)</f>
        <v>105.81</v>
      </c>
      <c r="F3164" s="2">
        <v>1</v>
      </c>
      <c r="G3164" s="2"/>
    </row>
    <row r="3165" spans="1:26" customHeight="1" ht="18" hidden="true" outlineLevel="4">
      <c r="A3165" s="2" t="s">
        <v>5942</v>
      </c>
      <c r="B3165" s="3" t="s">
        <v>5943</v>
      </c>
      <c r="C3165" s="2"/>
      <c r="D3165" s="2" t="s">
        <v>16</v>
      </c>
      <c r="E3165" s="4">
        <f>206.05*(1-Z1%)</f>
        <v>206.05</v>
      </c>
      <c r="F3165" s="2">
        <v>2</v>
      </c>
      <c r="G3165" s="2"/>
    </row>
    <row r="3166" spans="1:26" customHeight="1" ht="35" hidden="true" outlineLevel="4">
      <c r="A3166" s="5" t="s">
        <v>5944</v>
      </c>
      <c r="B3166" s="5"/>
      <c r="C3166" s="5"/>
      <c r="D3166" s="5"/>
      <c r="E3166" s="5"/>
      <c r="F3166" s="5"/>
      <c r="G3166" s="5"/>
    </row>
    <row r="3167" spans="1:26" customHeight="1" ht="36" hidden="true" outlineLevel="4">
      <c r="A3167" s="2" t="s">
        <v>5945</v>
      </c>
      <c r="B3167" s="3" t="s">
        <v>5946</v>
      </c>
      <c r="C3167" s="2"/>
      <c r="D3167" s="2" t="s">
        <v>16</v>
      </c>
      <c r="E3167" s="4">
        <f>124.83*(1-Z1%)</f>
        <v>124.83</v>
      </c>
      <c r="F3167" s="2">
        <v>2</v>
      </c>
      <c r="G3167" s="2"/>
    </row>
    <row r="3168" spans="1:26" customHeight="1" ht="36" hidden="true" outlineLevel="4">
      <c r="A3168" s="2" t="s">
        <v>5947</v>
      </c>
      <c r="B3168" s="3" t="s">
        <v>5948</v>
      </c>
      <c r="C3168" s="2"/>
      <c r="D3168" s="2" t="s">
        <v>16</v>
      </c>
      <c r="E3168" s="4">
        <f>100.04*(1-Z1%)</f>
        <v>100.04</v>
      </c>
      <c r="F3168" s="2">
        <v>18</v>
      </c>
      <c r="G3168" s="2"/>
    </row>
    <row r="3169" spans="1:26" customHeight="1" ht="36" hidden="true" outlineLevel="4">
      <c r="A3169" s="2" t="s">
        <v>5949</v>
      </c>
      <c r="B3169" s="3" t="s">
        <v>5950</v>
      </c>
      <c r="C3169" s="2"/>
      <c r="D3169" s="2" t="s">
        <v>16</v>
      </c>
      <c r="E3169" s="4">
        <f>43.32*(1-Z1%)</f>
        <v>43.32</v>
      </c>
      <c r="F3169" s="2">
        <v>108</v>
      </c>
      <c r="G3169" s="2"/>
    </row>
    <row r="3170" spans="1:26" customHeight="1" ht="36" hidden="true" outlineLevel="4">
      <c r="A3170" s="2" t="s">
        <v>5951</v>
      </c>
      <c r="B3170" s="3" t="s">
        <v>5952</v>
      </c>
      <c r="C3170" s="2"/>
      <c r="D3170" s="2" t="s">
        <v>16</v>
      </c>
      <c r="E3170" s="4">
        <f>26.51*(1-Z1%)</f>
        <v>26.51</v>
      </c>
      <c r="F3170" s="2">
        <v>33</v>
      </c>
      <c r="G3170" s="2"/>
    </row>
    <row r="3171" spans="1:26" customHeight="1" ht="35" hidden="true" outlineLevel="4">
      <c r="A3171" s="5" t="s">
        <v>5953</v>
      </c>
      <c r="B3171" s="5"/>
      <c r="C3171" s="5"/>
      <c r="D3171" s="5"/>
      <c r="E3171" s="5"/>
      <c r="F3171" s="5"/>
      <c r="G3171" s="5"/>
    </row>
    <row r="3172" spans="1:26" customHeight="1" ht="18" hidden="true" outlineLevel="4">
      <c r="A3172" s="2" t="s">
        <v>5954</v>
      </c>
      <c r="B3172" s="3" t="s">
        <v>5955</v>
      </c>
      <c r="C3172" s="2"/>
      <c r="D3172" s="2" t="s">
        <v>16</v>
      </c>
      <c r="E3172" s="4">
        <f>77.97*(1-Z1%)</f>
        <v>77.97</v>
      </c>
      <c r="F3172" s="2">
        <v>6</v>
      </c>
      <c r="G3172" s="2"/>
    </row>
    <row r="3173" spans="1:26" customHeight="1" ht="18" hidden="true" outlineLevel="4">
      <c r="A3173" s="2" t="s">
        <v>5956</v>
      </c>
      <c r="B3173" s="3" t="s">
        <v>5957</v>
      </c>
      <c r="C3173" s="2"/>
      <c r="D3173" s="2" t="s">
        <v>16</v>
      </c>
      <c r="E3173" s="4">
        <f>29.70*(1-Z1%)</f>
        <v>29.7</v>
      </c>
      <c r="F3173" s="2">
        <v>2</v>
      </c>
      <c r="G3173" s="2"/>
    </row>
    <row r="3174" spans="1:26" customHeight="1" ht="18" hidden="true" outlineLevel="4">
      <c r="A3174" s="2" t="s">
        <v>5958</v>
      </c>
      <c r="B3174" s="3" t="s">
        <v>5959</v>
      </c>
      <c r="C3174" s="2"/>
      <c r="D3174" s="2" t="s">
        <v>16</v>
      </c>
      <c r="E3174" s="4">
        <f>48.89*(1-Z1%)</f>
        <v>48.89</v>
      </c>
      <c r="F3174" s="2">
        <v>6</v>
      </c>
      <c r="G3174" s="2"/>
    </row>
    <row r="3175" spans="1:26" customHeight="1" ht="35" hidden="true" outlineLevel="4">
      <c r="A3175" s="5" t="s">
        <v>5960</v>
      </c>
      <c r="B3175" s="5"/>
      <c r="C3175" s="5"/>
      <c r="D3175" s="5"/>
      <c r="E3175" s="5"/>
      <c r="F3175" s="5"/>
      <c r="G3175" s="5"/>
    </row>
    <row r="3176" spans="1:26" customHeight="1" ht="18" hidden="true" outlineLevel="4">
      <c r="A3176" s="2" t="s">
        <v>5961</v>
      </c>
      <c r="B3176" s="3" t="s">
        <v>5962</v>
      </c>
      <c r="C3176" s="2"/>
      <c r="D3176" s="2" t="s">
        <v>16</v>
      </c>
      <c r="E3176" s="4">
        <f>74.25*(1-Z1%)</f>
        <v>74.25</v>
      </c>
      <c r="F3176" s="2">
        <v>4</v>
      </c>
      <c r="G3176" s="2"/>
    </row>
    <row r="3177" spans="1:26" customHeight="1" ht="18" hidden="true" outlineLevel="4">
      <c r="A3177" s="2" t="s">
        <v>5963</v>
      </c>
      <c r="B3177" s="3" t="s">
        <v>5964</v>
      </c>
      <c r="C3177" s="2"/>
      <c r="D3177" s="2" t="s">
        <v>16</v>
      </c>
      <c r="E3177" s="4">
        <f>61.88*(1-Z1%)</f>
        <v>61.88</v>
      </c>
      <c r="F3177" s="2">
        <v>4</v>
      </c>
      <c r="G3177" s="2"/>
    </row>
    <row r="3178" spans="1:26" customHeight="1" ht="18" hidden="true" outlineLevel="4">
      <c r="A3178" s="2" t="s">
        <v>5965</v>
      </c>
      <c r="B3178" s="3" t="s">
        <v>5966</v>
      </c>
      <c r="C3178" s="2"/>
      <c r="D3178" s="2" t="s">
        <v>16</v>
      </c>
      <c r="E3178" s="4">
        <f>41.46*(1-Z1%)</f>
        <v>41.46</v>
      </c>
      <c r="F3178" s="2">
        <v>1</v>
      </c>
      <c r="G3178" s="2"/>
    </row>
    <row r="3179" spans="1:26" customHeight="1" ht="18" hidden="true" outlineLevel="4">
      <c r="A3179" s="2" t="s">
        <v>5967</v>
      </c>
      <c r="B3179" s="3" t="s">
        <v>5968</v>
      </c>
      <c r="C3179" s="2"/>
      <c r="D3179" s="2" t="s">
        <v>16</v>
      </c>
      <c r="E3179" s="4">
        <f>35.27*(1-Z1%)</f>
        <v>35.27</v>
      </c>
      <c r="F3179" s="2">
        <v>44</v>
      </c>
      <c r="G3179" s="2"/>
    </row>
    <row r="3180" spans="1:26" customHeight="1" ht="18" hidden="true" outlineLevel="4">
      <c r="A3180" s="2" t="s">
        <v>5969</v>
      </c>
      <c r="B3180" s="3" t="s">
        <v>5970</v>
      </c>
      <c r="C3180" s="2"/>
      <c r="D3180" s="2" t="s">
        <v>16</v>
      </c>
      <c r="E3180" s="4">
        <f>55.69*(1-Z1%)</f>
        <v>55.69</v>
      </c>
      <c r="F3180" s="2">
        <v>7</v>
      </c>
      <c r="G3180" s="2"/>
    </row>
    <row r="3181" spans="1:26" customHeight="1" ht="18" hidden="true" outlineLevel="4">
      <c r="A3181" s="2" t="s">
        <v>5971</v>
      </c>
      <c r="B3181" s="3" t="s">
        <v>5972</v>
      </c>
      <c r="C3181" s="2"/>
      <c r="D3181" s="2" t="s">
        <v>16</v>
      </c>
      <c r="E3181" s="4">
        <f>60.64*(1-Z1%)</f>
        <v>60.64</v>
      </c>
      <c r="F3181" s="2">
        <v>10</v>
      </c>
      <c r="G3181" s="2"/>
    </row>
    <row r="3182" spans="1:26" customHeight="1" ht="36" hidden="true" outlineLevel="4">
      <c r="A3182" s="2" t="s">
        <v>5973</v>
      </c>
      <c r="B3182" s="3" t="s">
        <v>5974</v>
      </c>
      <c r="C3182" s="2"/>
      <c r="D3182" s="2" t="s">
        <v>16</v>
      </c>
      <c r="E3182" s="4">
        <f>72.40*(1-Z1%)</f>
        <v>72.4</v>
      </c>
      <c r="F3182" s="2">
        <v>10</v>
      </c>
      <c r="G3182" s="2"/>
    </row>
    <row r="3183" spans="1:26" customHeight="1" ht="18" hidden="true" outlineLevel="4">
      <c r="A3183" s="2" t="s">
        <v>5975</v>
      </c>
      <c r="B3183" s="3" t="s">
        <v>5976</v>
      </c>
      <c r="C3183" s="2"/>
      <c r="D3183" s="2" t="s">
        <v>16</v>
      </c>
      <c r="E3183" s="4">
        <f>32.18*(1-Z1%)</f>
        <v>32.18</v>
      </c>
      <c r="F3183" s="2">
        <v>13</v>
      </c>
      <c r="G3183" s="2"/>
    </row>
    <row r="3184" spans="1:26" customHeight="1" ht="18" hidden="true" outlineLevel="4">
      <c r="A3184" s="2" t="s">
        <v>5977</v>
      </c>
      <c r="B3184" s="3" t="s">
        <v>5978</v>
      </c>
      <c r="C3184" s="2"/>
      <c r="D3184" s="2" t="s">
        <v>16</v>
      </c>
      <c r="E3184" s="4">
        <f>35.89*(1-Z1%)</f>
        <v>35.89</v>
      </c>
      <c r="F3184" s="2">
        <v>7</v>
      </c>
      <c r="G3184" s="2"/>
    </row>
    <row r="3185" spans="1:26" customHeight="1" ht="18" hidden="true" outlineLevel="4">
      <c r="A3185" s="2" t="s">
        <v>5979</v>
      </c>
      <c r="B3185" s="3" t="s">
        <v>5980</v>
      </c>
      <c r="C3185" s="2"/>
      <c r="D3185" s="2" t="s">
        <v>16</v>
      </c>
      <c r="E3185" s="4">
        <f>47.03*(1-Z1%)</f>
        <v>47.03</v>
      </c>
      <c r="F3185" s="2">
        <v>17</v>
      </c>
      <c r="G3185" s="2"/>
    </row>
    <row r="3186" spans="1:26" customHeight="1" ht="18" hidden="true" outlineLevel="4">
      <c r="A3186" s="2" t="s">
        <v>5981</v>
      </c>
      <c r="B3186" s="3" t="s">
        <v>5982</v>
      </c>
      <c r="C3186" s="2"/>
      <c r="D3186" s="2" t="s">
        <v>16</v>
      </c>
      <c r="E3186" s="4">
        <f>69.30*(1-Z1%)</f>
        <v>69.3</v>
      </c>
      <c r="F3186" s="2">
        <v>2</v>
      </c>
      <c r="G3186" s="2"/>
    </row>
    <row r="3187" spans="1:26" customHeight="1" ht="35" hidden="true" outlineLevel="4">
      <c r="A3187" s="5" t="s">
        <v>5983</v>
      </c>
      <c r="B3187" s="5"/>
      <c r="C3187" s="5"/>
      <c r="D3187" s="5"/>
      <c r="E3187" s="5"/>
      <c r="F3187" s="5"/>
      <c r="G3187" s="5"/>
    </row>
    <row r="3188" spans="1:26" customHeight="1" ht="36" hidden="true" outlineLevel="4">
      <c r="A3188" s="2" t="s">
        <v>5984</v>
      </c>
      <c r="B3188" s="3" t="s">
        <v>5985</v>
      </c>
      <c r="C3188" s="2"/>
      <c r="D3188" s="2" t="s">
        <v>16</v>
      </c>
      <c r="E3188" s="4">
        <f>100.24*(1-Z1%)</f>
        <v>100.24</v>
      </c>
      <c r="F3188" s="2">
        <v>3</v>
      </c>
      <c r="G3188" s="2"/>
    </row>
    <row r="3189" spans="1:26" customHeight="1" ht="36" hidden="true" outlineLevel="4">
      <c r="A3189" s="2" t="s">
        <v>5986</v>
      </c>
      <c r="B3189" s="3" t="s">
        <v>5987</v>
      </c>
      <c r="C3189" s="2"/>
      <c r="D3189" s="2" t="s">
        <v>16</v>
      </c>
      <c r="E3189" s="4">
        <f>29.09*(1-Z1%)</f>
        <v>29.09</v>
      </c>
      <c r="F3189" s="2">
        <v>15</v>
      </c>
      <c r="G3189" s="2"/>
    </row>
    <row r="3190" spans="1:26" customHeight="1" ht="36" hidden="true" outlineLevel="4">
      <c r="A3190" s="2" t="s">
        <v>5988</v>
      </c>
      <c r="B3190" s="3" t="s">
        <v>5989</v>
      </c>
      <c r="C3190" s="2"/>
      <c r="D3190" s="2" t="s">
        <v>16</v>
      </c>
      <c r="E3190" s="4">
        <f>32.18*(1-Z1%)</f>
        <v>32.18</v>
      </c>
      <c r="F3190" s="2">
        <v>7</v>
      </c>
      <c r="G3190" s="2"/>
    </row>
    <row r="3191" spans="1:26" customHeight="1" ht="36" hidden="true" outlineLevel="4">
      <c r="A3191" s="2" t="s">
        <v>5990</v>
      </c>
      <c r="B3191" s="3" t="s">
        <v>5991</v>
      </c>
      <c r="C3191" s="2"/>
      <c r="D3191" s="2" t="s">
        <v>16</v>
      </c>
      <c r="E3191" s="4">
        <f>43.94*(1-Z1%)</f>
        <v>43.94</v>
      </c>
      <c r="F3191" s="2">
        <v>11</v>
      </c>
      <c r="G3191" s="2"/>
    </row>
    <row r="3192" spans="1:26" customHeight="1" ht="36" hidden="true" outlineLevel="4">
      <c r="A3192" s="2" t="s">
        <v>5992</v>
      </c>
      <c r="B3192" s="3" t="s">
        <v>5993</v>
      </c>
      <c r="C3192" s="2"/>
      <c r="D3192" s="2" t="s">
        <v>16</v>
      </c>
      <c r="E3192" s="4">
        <f>357.64*(1-Z1%)</f>
        <v>357.64</v>
      </c>
      <c r="F3192" s="2">
        <v>2</v>
      </c>
      <c r="G3192" s="2"/>
    </row>
    <row r="3193" spans="1:26" customHeight="1" ht="18" hidden="true" outlineLevel="4">
      <c r="A3193" s="2" t="s">
        <v>5994</v>
      </c>
      <c r="B3193" s="3" t="s">
        <v>5995</v>
      </c>
      <c r="C3193" s="2"/>
      <c r="D3193" s="2" t="s">
        <v>16</v>
      </c>
      <c r="E3193" s="4">
        <f>61.88*(1-Z1%)</f>
        <v>61.88</v>
      </c>
      <c r="F3193" s="2">
        <v>5</v>
      </c>
      <c r="G3193" s="2"/>
    </row>
    <row r="3194" spans="1:26" customHeight="1" ht="36" hidden="true" outlineLevel="4">
      <c r="A3194" s="2" t="s">
        <v>5996</v>
      </c>
      <c r="B3194" s="3" t="s">
        <v>5997</v>
      </c>
      <c r="C3194" s="2"/>
      <c r="D3194" s="2" t="s">
        <v>16</v>
      </c>
      <c r="E3194" s="4">
        <f>21.66*(1-Z1%)</f>
        <v>21.66</v>
      </c>
      <c r="F3194" s="2">
        <v>19</v>
      </c>
      <c r="G3194" s="2"/>
    </row>
    <row r="3195" spans="1:26" customHeight="1" ht="36" hidden="true" outlineLevel="4">
      <c r="A3195" s="2" t="s">
        <v>5998</v>
      </c>
      <c r="B3195" s="3" t="s">
        <v>5999</v>
      </c>
      <c r="C3195" s="2"/>
      <c r="D3195" s="2" t="s">
        <v>16</v>
      </c>
      <c r="E3195" s="4">
        <f>22.90*(1-Z1%)</f>
        <v>22.9</v>
      </c>
      <c r="F3195" s="2">
        <v>13</v>
      </c>
      <c r="G3195" s="2"/>
    </row>
    <row r="3196" spans="1:26" customHeight="1" ht="36" hidden="true" outlineLevel="4">
      <c r="A3196" s="2" t="s">
        <v>6000</v>
      </c>
      <c r="B3196" s="3" t="s">
        <v>6001</v>
      </c>
      <c r="C3196" s="2"/>
      <c r="D3196" s="2" t="s">
        <v>16</v>
      </c>
      <c r="E3196" s="4">
        <f>23.52*(1-Z1%)</f>
        <v>23.52</v>
      </c>
      <c r="F3196" s="2">
        <v>7</v>
      </c>
      <c r="G3196" s="2"/>
    </row>
    <row r="3197" spans="1:26" customHeight="1" ht="36" hidden="true" outlineLevel="4">
      <c r="A3197" s="2" t="s">
        <v>6002</v>
      </c>
      <c r="B3197" s="3" t="s">
        <v>6003</v>
      </c>
      <c r="C3197" s="2"/>
      <c r="D3197" s="2" t="s">
        <v>16</v>
      </c>
      <c r="E3197" s="4">
        <f>30.94*(1-Z1%)</f>
        <v>30.94</v>
      </c>
      <c r="F3197" s="2">
        <v>24</v>
      </c>
      <c r="G3197" s="2"/>
    </row>
    <row r="3198" spans="1:26" customHeight="1" ht="36" hidden="true" outlineLevel="4">
      <c r="A3198" s="2" t="s">
        <v>6004</v>
      </c>
      <c r="B3198" s="3" t="s">
        <v>6005</v>
      </c>
      <c r="C3198" s="2"/>
      <c r="D3198" s="2" t="s">
        <v>16</v>
      </c>
      <c r="E3198" s="4">
        <f>35.27*(1-Z1%)</f>
        <v>35.27</v>
      </c>
      <c r="F3198" s="2">
        <v>13</v>
      </c>
      <c r="G3198" s="2"/>
    </row>
    <row r="3199" spans="1:26" customHeight="1" ht="36" hidden="true" outlineLevel="4">
      <c r="A3199" s="2" t="s">
        <v>6006</v>
      </c>
      <c r="B3199" s="3" t="s">
        <v>6007</v>
      </c>
      <c r="C3199" s="2"/>
      <c r="D3199" s="2" t="s">
        <v>16</v>
      </c>
      <c r="E3199" s="4">
        <f>53.22*(1-Z1%)</f>
        <v>53.22</v>
      </c>
      <c r="F3199" s="2">
        <v>9</v>
      </c>
      <c r="G3199" s="2"/>
    </row>
    <row r="3200" spans="1:26" customHeight="1" ht="18" hidden="true" outlineLevel="4">
      <c r="A3200" s="2" t="s">
        <v>6008</v>
      </c>
      <c r="B3200" s="3" t="s">
        <v>6009</v>
      </c>
      <c r="C3200" s="2"/>
      <c r="D3200" s="2" t="s">
        <v>16</v>
      </c>
      <c r="E3200" s="4">
        <f>27.85*(1-Z1%)</f>
        <v>27.85</v>
      </c>
      <c r="F3200" s="2">
        <v>7</v>
      </c>
      <c r="G3200" s="2"/>
    </row>
    <row r="3201" spans="1:26" customHeight="1" ht="18" hidden="true" outlineLevel="4">
      <c r="A3201" s="2" t="s">
        <v>6010</v>
      </c>
      <c r="B3201" s="3" t="s">
        <v>6011</v>
      </c>
      <c r="C3201" s="2"/>
      <c r="D3201" s="2" t="s">
        <v>16</v>
      </c>
      <c r="E3201" s="4">
        <f>29.70*(1-Z1%)</f>
        <v>29.7</v>
      </c>
      <c r="F3201" s="2">
        <v>9</v>
      </c>
      <c r="G3201" s="2"/>
    </row>
    <row r="3202" spans="1:26" customHeight="1" ht="18" hidden="true" outlineLevel="4">
      <c r="A3202" s="2" t="s">
        <v>6012</v>
      </c>
      <c r="B3202" s="3" t="s">
        <v>6013</v>
      </c>
      <c r="C3202" s="2"/>
      <c r="D3202" s="2" t="s">
        <v>16</v>
      </c>
      <c r="E3202" s="4">
        <f>62.50*(1-Z1%)</f>
        <v>62.5</v>
      </c>
      <c r="F3202" s="2">
        <v>11</v>
      </c>
      <c r="G3202" s="2"/>
    </row>
    <row r="3203" spans="1:26" customHeight="1" ht="18" hidden="true" outlineLevel="4">
      <c r="A3203" s="2" t="s">
        <v>6014</v>
      </c>
      <c r="B3203" s="3" t="s">
        <v>6015</v>
      </c>
      <c r="C3203" s="2"/>
      <c r="D3203" s="2" t="s">
        <v>16</v>
      </c>
      <c r="E3203" s="4">
        <f>37.75*(1-Z1%)</f>
        <v>37.75</v>
      </c>
      <c r="F3203" s="2">
        <v>8</v>
      </c>
      <c r="G3203" s="2"/>
    </row>
    <row r="3204" spans="1:26" customHeight="1" ht="35" hidden="true" outlineLevel="3">
      <c r="A3204" s="5" t="s">
        <v>6016</v>
      </c>
      <c r="B3204" s="5"/>
      <c r="C3204" s="5"/>
      <c r="D3204" s="5"/>
      <c r="E3204" s="5"/>
      <c r="F3204" s="5"/>
      <c r="G3204" s="5"/>
    </row>
    <row r="3205" spans="1:26" customHeight="1" ht="36" hidden="true" outlineLevel="3">
      <c r="A3205" s="2" t="s">
        <v>6017</v>
      </c>
      <c r="B3205" s="3" t="s">
        <v>6018</v>
      </c>
      <c r="C3205" s="2"/>
      <c r="D3205" s="2" t="s">
        <v>16</v>
      </c>
      <c r="E3205" s="4">
        <f>136.13*(1-Z1%)</f>
        <v>136.13</v>
      </c>
      <c r="F3205" s="2">
        <v>9</v>
      </c>
      <c r="G3205" s="2"/>
    </row>
    <row r="3206" spans="1:26" customHeight="1" ht="36" hidden="true" outlineLevel="3">
      <c r="A3206" s="2" t="s">
        <v>6019</v>
      </c>
      <c r="B3206" s="3" t="s">
        <v>6020</v>
      </c>
      <c r="C3206" s="2"/>
      <c r="D3206" s="2" t="s">
        <v>16</v>
      </c>
      <c r="E3206" s="4">
        <f>136.13*(1-Z1%)</f>
        <v>136.13</v>
      </c>
      <c r="F3206" s="2">
        <v>3</v>
      </c>
      <c r="G3206" s="2"/>
    </row>
    <row r="3207" spans="1:26" customHeight="1" ht="36" hidden="true" outlineLevel="3">
      <c r="A3207" s="2" t="s">
        <v>6021</v>
      </c>
      <c r="B3207" s="3" t="s">
        <v>6022</v>
      </c>
      <c r="C3207" s="2"/>
      <c r="D3207" s="2" t="s">
        <v>16</v>
      </c>
      <c r="E3207" s="4">
        <f>241.32*(1-Z1%)</f>
        <v>241.32</v>
      </c>
      <c r="F3207" s="2">
        <v>5</v>
      </c>
      <c r="G3207" s="2"/>
    </row>
    <row r="3208" spans="1:26" customHeight="1" ht="36" hidden="true" outlineLevel="3">
      <c r="A3208" s="2" t="s">
        <v>6023</v>
      </c>
      <c r="B3208" s="3" t="s">
        <v>6024</v>
      </c>
      <c r="C3208" s="2"/>
      <c r="D3208" s="2" t="s">
        <v>16</v>
      </c>
      <c r="E3208" s="4">
        <f>43.88*(1-Z1%)</f>
        <v>43.88</v>
      </c>
      <c r="F3208" s="2">
        <v>20</v>
      </c>
      <c r="G3208" s="2"/>
    </row>
    <row r="3209" spans="1:26" customHeight="1" ht="36" hidden="true" outlineLevel="3">
      <c r="A3209" s="2" t="s">
        <v>6025</v>
      </c>
      <c r="B3209" s="3" t="s">
        <v>6026</v>
      </c>
      <c r="C3209" s="2"/>
      <c r="D3209" s="2" t="s">
        <v>16</v>
      </c>
      <c r="E3209" s="4">
        <f>43.88*(1-Z1%)</f>
        <v>43.88</v>
      </c>
      <c r="F3209" s="2">
        <v>10</v>
      </c>
      <c r="G3209" s="2"/>
    </row>
    <row r="3210" spans="1:26" customHeight="1" ht="18" hidden="true" outlineLevel="3">
      <c r="A3210" s="2" t="s">
        <v>6027</v>
      </c>
      <c r="B3210" s="3" t="s">
        <v>6028</v>
      </c>
      <c r="C3210" s="2"/>
      <c r="D3210" s="2" t="s">
        <v>16</v>
      </c>
      <c r="E3210" s="4">
        <f>124.37*(1-Z1%)</f>
        <v>124.37</v>
      </c>
      <c r="F3210" s="2">
        <v>10</v>
      </c>
      <c r="G3210" s="2"/>
    </row>
    <row r="3211" spans="1:26" customHeight="1" ht="18" hidden="true" outlineLevel="3">
      <c r="A3211" s="2" t="s">
        <v>6029</v>
      </c>
      <c r="B3211" s="3" t="s">
        <v>6030</v>
      </c>
      <c r="C3211" s="2"/>
      <c r="D3211" s="2" t="s">
        <v>16</v>
      </c>
      <c r="E3211" s="4">
        <f>265.45*(1-Z1%)</f>
        <v>265.45</v>
      </c>
      <c r="F3211" s="2">
        <v>7</v>
      </c>
      <c r="G3211" s="2"/>
    </row>
    <row r="3212" spans="1:26" customHeight="1" ht="35" hidden="true" outlineLevel="3">
      <c r="A3212" s="5" t="s">
        <v>6031</v>
      </c>
      <c r="B3212" s="5"/>
      <c r="C3212" s="5"/>
      <c r="D3212" s="5"/>
      <c r="E3212" s="5"/>
      <c r="F3212" s="5"/>
      <c r="G3212" s="5"/>
    </row>
    <row r="3213" spans="1:26" customHeight="1" ht="18" hidden="true" outlineLevel="3">
      <c r="A3213" s="2" t="s">
        <v>6032</v>
      </c>
      <c r="B3213" s="3" t="s">
        <v>6033</v>
      </c>
      <c r="C3213" s="2"/>
      <c r="D3213" s="2" t="s">
        <v>16</v>
      </c>
      <c r="E3213" s="4">
        <f>41.46*(1-Z1%)</f>
        <v>41.46</v>
      </c>
      <c r="F3213" s="2">
        <v>50</v>
      </c>
      <c r="G3213" s="2"/>
    </row>
    <row r="3214" spans="1:26" customHeight="1" ht="18" hidden="true" outlineLevel="3">
      <c r="A3214" s="2" t="s">
        <v>6034</v>
      </c>
      <c r="B3214" s="3" t="s">
        <v>6035</v>
      </c>
      <c r="C3214" s="2"/>
      <c r="D3214" s="2" t="s">
        <v>16</v>
      </c>
      <c r="E3214" s="4">
        <f>69.30*(1-Z1%)</f>
        <v>69.3</v>
      </c>
      <c r="F3214" s="2">
        <v>29</v>
      </c>
      <c r="G3214" s="2"/>
    </row>
    <row r="3215" spans="1:26" customHeight="1" ht="18" hidden="true" outlineLevel="3">
      <c r="A3215" s="2" t="s">
        <v>6036</v>
      </c>
      <c r="B3215" s="3" t="s">
        <v>6037</v>
      </c>
      <c r="C3215" s="2"/>
      <c r="D3215" s="2" t="s">
        <v>16</v>
      </c>
      <c r="E3215" s="4">
        <f>68.69*(1-Z1%)</f>
        <v>68.69</v>
      </c>
      <c r="F3215" s="2">
        <v>33</v>
      </c>
      <c r="G3215" s="2"/>
    </row>
    <row r="3216" spans="1:26" customHeight="1" ht="18" hidden="true" outlineLevel="3">
      <c r="A3216" s="2" t="s">
        <v>6038</v>
      </c>
      <c r="B3216" s="3" t="s">
        <v>6039</v>
      </c>
      <c r="C3216" s="2"/>
      <c r="D3216" s="2" t="s">
        <v>16</v>
      </c>
      <c r="E3216" s="4">
        <f>76.84*(1-Z1%)</f>
        <v>76.84</v>
      </c>
      <c r="F3216" s="2">
        <v>8</v>
      </c>
      <c r="G3216" s="2"/>
    </row>
    <row r="3217" spans="1:26" customHeight="1" ht="18" hidden="true" outlineLevel="3">
      <c r="A3217" s="2" t="s">
        <v>6040</v>
      </c>
      <c r="B3217" s="3" t="s">
        <v>6041</v>
      </c>
      <c r="C3217" s="2"/>
      <c r="D3217" s="2" t="s">
        <v>16</v>
      </c>
      <c r="E3217" s="4">
        <f>57.94*(1-Z1%)</f>
        <v>57.94</v>
      </c>
      <c r="F3217" s="2">
        <v>16</v>
      </c>
      <c r="G3217" s="2"/>
    </row>
    <row r="3218" spans="1:26" customHeight="1" ht="18" hidden="true" outlineLevel="3">
      <c r="A3218" s="2" t="s">
        <v>6042</v>
      </c>
      <c r="B3218" s="3" t="s">
        <v>6043</v>
      </c>
      <c r="C3218" s="2"/>
      <c r="D3218" s="2" t="s">
        <v>16</v>
      </c>
      <c r="E3218" s="4">
        <f>39.87*(1-Z1%)</f>
        <v>39.87</v>
      </c>
      <c r="F3218" s="2">
        <v>8</v>
      </c>
      <c r="G3218" s="2"/>
    </row>
    <row r="3219" spans="1:26" customHeight="1" ht="18" hidden="true" outlineLevel="3">
      <c r="A3219" s="2" t="s">
        <v>6044</v>
      </c>
      <c r="B3219" s="3" t="s">
        <v>6045</v>
      </c>
      <c r="C3219" s="2"/>
      <c r="D3219" s="2" t="s">
        <v>16</v>
      </c>
      <c r="E3219" s="4">
        <f>83.64*(1-Z1%)</f>
        <v>83.64</v>
      </c>
      <c r="F3219" s="2">
        <v>7</v>
      </c>
      <c r="G3219" s="2"/>
    </row>
    <row r="3220" spans="1:26" customHeight="1" ht="18" hidden="true" outlineLevel="3">
      <c r="A3220" s="2" t="s">
        <v>6046</v>
      </c>
      <c r="B3220" s="3" t="s">
        <v>6047</v>
      </c>
      <c r="C3220" s="2"/>
      <c r="D3220" s="2" t="s">
        <v>16</v>
      </c>
      <c r="E3220" s="4">
        <f>83.64*(1-Z1%)</f>
        <v>83.64</v>
      </c>
      <c r="F3220" s="2">
        <v>19</v>
      </c>
      <c r="G3220" s="2"/>
    </row>
    <row r="3221" spans="1:26" customHeight="1" ht="18" hidden="true" outlineLevel="3">
      <c r="A3221" s="2" t="s">
        <v>6048</v>
      </c>
      <c r="B3221" s="3" t="s">
        <v>6049</v>
      </c>
      <c r="C3221" s="2"/>
      <c r="D3221" s="2" t="s">
        <v>16</v>
      </c>
      <c r="E3221" s="4">
        <f>125.46*(1-Z1%)</f>
        <v>125.46</v>
      </c>
      <c r="F3221" s="2">
        <v>4</v>
      </c>
      <c r="G3221" s="2"/>
    </row>
    <row r="3222" spans="1:26" customHeight="1" ht="35" hidden="true" outlineLevel="3">
      <c r="A3222" s="5" t="s">
        <v>6050</v>
      </c>
      <c r="B3222" s="5"/>
      <c r="C3222" s="5"/>
      <c r="D3222" s="5"/>
      <c r="E3222" s="5"/>
      <c r="F3222" s="5"/>
      <c r="G3222" s="5"/>
    </row>
    <row r="3223" spans="1:26" customHeight="1" ht="36" hidden="true" outlineLevel="3">
      <c r="A3223" s="2" t="s">
        <v>6051</v>
      </c>
      <c r="B3223" s="3" t="s">
        <v>6052</v>
      </c>
      <c r="C3223" s="2"/>
      <c r="D3223" s="2" t="s">
        <v>16</v>
      </c>
      <c r="E3223" s="4">
        <f>343.31*(1-Z1%)</f>
        <v>343.31</v>
      </c>
      <c r="F3223" s="2">
        <v>3</v>
      </c>
      <c r="G3223" s="2"/>
    </row>
    <row r="3224" spans="1:26" customHeight="1" ht="36" hidden="true" outlineLevel="3">
      <c r="A3224" s="2" t="s">
        <v>6053</v>
      </c>
      <c r="B3224" s="3" t="s">
        <v>6054</v>
      </c>
      <c r="C3224" s="2"/>
      <c r="D3224" s="2" t="s">
        <v>16</v>
      </c>
      <c r="E3224" s="4">
        <f>300.92*(1-Z1%)</f>
        <v>300.92</v>
      </c>
      <c r="F3224" s="2">
        <v>2</v>
      </c>
      <c r="G3224" s="2"/>
    </row>
    <row r="3225" spans="1:26" customHeight="1" ht="36" hidden="true" outlineLevel="3">
      <c r="A3225" s="2" t="s">
        <v>6055</v>
      </c>
      <c r="B3225" s="3" t="s">
        <v>6056</v>
      </c>
      <c r="C3225" s="2"/>
      <c r="D3225" s="2" t="s">
        <v>16</v>
      </c>
      <c r="E3225" s="4">
        <f>210.38*(1-Z1%)</f>
        <v>210.38</v>
      </c>
      <c r="F3225" s="2">
        <v>4</v>
      </c>
      <c r="G3225" s="2"/>
    </row>
    <row r="3226" spans="1:26" customHeight="1" ht="36" hidden="true" outlineLevel="3">
      <c r="A3226" s="2" t="s">
        <v>6057</v>
      </c>
      <c r="B3226" s="3" t="s">
        <v>6058</v>
      </c>
      <c r="C3226" s="2"/>
      <c r="D3226" s="2" t="s">
        <v>16</v>
      </c>
      <c r="E3226" s="4">
        <f>318.70*(1-Z1%)</f>
        <v>318.7</v>
      </c>
      <c r="F3226" s="2">
        <v>4</v>
      </c>
      <c r="G3226" s="2"/>
    </row>
    <row r="3227" spans="1:26" customHeight="1" ht="36" hidden="true" outlineLevel="3">
      <c r="A3227" s="2" t="s">
        <v>6059</v>
      </c>
      <c r="B3227" s="3" t="s">
        <v>6060</v>
      </c>
      <c r="C3227" s="2"/>
      <c r="D3227" s="2" t="s">
        <v>16</v>
      </c>
      <c r="E3227" s="4">
        <f>116.60*(1-Z1%)</f>
        <v>116.6</v>
      </c>
      <c r="F3227" s="2">
        <v>3</v>
      </c>
      <c r="G3227" s="2"/>
    </row>
    <row r="3228" spans="1:26" customHeight="1" ht="36" hidden="true" outlineLevel="3">
      <c r="A3228" s="2" t="s">
        <v>6061</v>
      </c>
      <c r="B3228" s="3" t="s">
        <v>6062</v>
      </c>
      <c r="C3228" s="2"/>
      <c r="D3228" s="2" t="s">
        <v>16</v>
      </c>
      <c r="E3228" s="4">
        <f>175.19*(1-Z1%)</f>
        <v>175.19</v>
      </c>
      <c r="F3228" s="2">
        <v>3</v>
      </c>
      <c r="G3228" s="2"/>
    </row>
    <row r="3229" spans="1:26" customHeight="1" ht="35" hidden="true" outlineLevel="3">
      <c r="A3229" s="5" t="s">
        <v>6063</v>
      </c>
      <c r="B3229" s="5"/>
      <c r="C3229" s="5"/>
      <c r="D3229" s="5"/>
      <c r="E3229" s="5"/>
      <c r="F3229" s="5"/>
      <c r="G3229" s="5"/>
    </row>
    <row r="3230" spans="1:26" customHeight="1" ht="18" hidden="true" outlineLevel="3">
      <c r="A3230" s="2" t="s">
        <v>6064</v>
      </c>
      <c r="B3230" s="3" t="s">
        <v>6065</v>
      </c>
      <c r="C3230" s="2"/>
      <c r="D3230" s="2" t="s">
        <v>16</v>
      </c>
      <c r="E3230" s="4">
        <f>267.30*(1-Z1%)</f>
        <v>267.3</v>
      </c>
      <c r="F3230" s="2">
        <v>4</v>
      </c>
      <c r="G3230" s="2"/>
    </row>
    <row r="3231" spans="1:26" customHeight="1" ht="18" hidden="true" outlineLevel="3">
      <c r="A3231" s="2" t="s">
        <v>6066</v>
      </c>
      <c r="B3231" s="3" t="s">
        <v>6067</v>
      </c>
      <c r="C3231" s="2"/>
      <c r="D3231" s="2" t="s">
        <v>16</v>
      </c>
      <c r="E3231" s="4">
        <f>316.09*(1-Z1%)</f>
        <v>316.09</v>
      </c>
      <c r="F3231" s="2">
        <v>3</v>
      </c>
      <c r="G3231" s="2"/>
    </row>
    <row r="3232" spans="1:26" customHeight="1" ht="18" hidden="true" outlineLevel="3">
      <c r="A3232" s="2" t="s">
        <v>6068</v>
      </c>
      <c r="B3232" s="3" t="s">
        <v>6069</v>
      </c>
      <c r="C3232" s="2"/>
      <c r="D3232" s="2" t="s">
        <v>16</v>
      </c>
      <c r="E3232" s="4">
        <f>617.46*(1-Z1%)</f>
        <v>617.46</v>
      </c>
      <c r="F3232" s="2">
        <v>1</v>
      </c>
      <c r="G3232" s="2"/>
    </row>
    <row r="3233" spans="1:26" customHeight="1" ht="18" hidden="true" outlineLevel="3">
      <c r="A3233" s="2" t="s">
        <v>6070</v>
      </c>
      <c r="B3233" s="3" t="s">
        <v>6071</v>
      </c>
      <c r="C3233" s="2"/>
      <c r="D3233" s="2" t="s">
        <v>16</v>
      </c>
      <c r="E3233" s="4">
        <f>633.39*(1-Z1%)</f>
        <v>633.39</v>
      </c>
      <c r="F3233" s="2">
        <v>4</v>
      </c>
      <c r="G3233" s="2"/>
    </row>
    <row r="3234" spans="1:26" customHeight="1" ht="18" hidden="true" outlineLevel="3">
      <c r="A3234" s="2" t="s">
        <v>6072</v>
      </c>
      <c r="B3234" s="3" t="s">
        <v>6073</v>
      </c>
      <c r="C3234" s="2"/>
      <c r="D3234" s="2" t="s">
        <v>16</v>
      </c>
      <c r="E3234" s="4">
        <f>1047.48*(1-Z1%)</f>
        <v>1047.48</v>
      </c>
      <c r="F3234" s="2">
        <v>2</v>
      </c>
      <c r="G3234" s="2"/>
    </row>
    <row r="3235" spans="1:26" customHeight="1" ht="18" hidden="true" outlineLevel="3">
      <c r="A3235" s="2" t="s">
        <v>6074</v>
      </c>
      <c r="B3235" s="3" t="s">
        <v>6075</v>
      </c>
      <c r="C3235" s="2"/>
      <c r="D3235" s="2" t="s">
        <v>16</v>
      </c>
      <c r="E3235" s="4">
        <f>772.95*(1-Z1%)</f>
        <v>772.95</v>
      </c>
      <c r="F3235" s="2">
        <v>3</v>
      </c>
      <c r="G3235" s="2"/>
    </row>
    <row r="3236" spans="1:26" customHeight="1" ht="18" hidden="true" outlineLevel="3">
      <c r="A3236" s="2" t="s">
        <v>6076</v>
      </c>
      <c r="B3236" s="3" t="s">
        <v>6077</v>
      </c>
      <c r="C3236" s="2"/>
      <c r="D3236" s="2" t="s">
        <v>16</v>
      </c>
      <c r="E3236" s="4">
        <f>650.54*(1-Z1%)</f>
        <v>650.54</v>
      </c>
      <c r="F3236" s="2">
        <v>3</v>
      </c>
      <c r="G3236" s="2"/>
    </row>
    <row r="3237" spans="1:26" customHeight="1" ht="35" hidden="true" outlineLevel="3">
      <c r="A3237" s="5" t="s">
        <v>6078</v>
      </c>
      <c r="B3237" s="5"/>
      <c r="C3237" s="5"/>
      <c r="D3237" s="5"/>
      <c r="E3237" s="5"/>
      <c r="F3237" s="5"/>
      <c r="G3237" s="5"/>
    </row>
    <row r="3238" spans="1:26" customHeight="1" ht="18" hidden="true" outlineLevel="3">
      <c r="A3238" s="2" t="s">
        <v>6079</v>
      </c>
      <c r="B3238" s="3" t="s">
        <v>6080</v>
      </c>
      <c r="C3238" s="2"/>
      <c r="D3238" s="2" t="s">
        <v>16</v>
      </c>
      <c r="E3238" s="4">
        <f>628.16*(1-Z1%)</f>
        <v>628.16</v>
      </c>
      <c r="F3238" s="2">
        <v>1</v>
      </c>
      <c r="G3238" s="2"/>
    </row>
    <row r="3239" spans="1:26" customHeight="1" ht="35" hidden="true" outlineLevel="3">
      <c r="A3239" s="5" t="s">
        <v>6081</v>
      </c>
      <c r="B3239" s="5"/>
      <c r="C3239" s="5"/>
      <c r="D3239" s="5"/>
      <c r="E3239" s="5"/>
      <c r="F3239" s="5"/>
      <c r="G3239" s="5"/>
    </row>
    <row r="3240" spans="1:26" customHeight="1" ht="36" hidden="true" outlineLevel="3">
      <c r="A3240" s="2" t="s">
        <v>6082</v>
      </c>
      <c r="B3240" s="3" t="s">
        <v>6083</v>
      </c>
      <c r="C3240" s="2"/>
      <c r="D3240" s="2" t="s">
        <v>16</v>
      </c>
      <c r="E3240" s="4">
        <f>223.25*(1-Z1%)</f>
        <v>223.25</v>
      </c>
      <c r="F3240" s="2">
        <v>1</v>
      </c>
      <c r="G3240" s="2"/>
    </row>
    <row r="3241" spans="1:26" customHeight="1" ht="36" hidden="true" outlineLevel="3">
      <c r="A3241" s="2" t="s">
        <v>6084</v>
      </c>
      <c r="B3241" s="3" t="s">
        <v>6085</v>
      </c>
      <c r="C3241" s="2"/>
      <c r="D3241" s="2" t="s">
        <v>16</v>
      </c>
      <c r="E3241" s="4">
        <f>509.12*(1-Z1%)</f>
        <v>509.12</v>
      </c>
      <c r="F3241" s="2">
        <v>2</v>
      </c>
      <c r="G3241" s="2"/>
    </row>
    <row r="3242" spans="1:26" customHeight="1" ht="35" hidden="true" outlineLevel="3">
      <c r="A3242" s="5" t="s">
        <v>6086</v>
      </c>
      <c r="B3242" s="5"/>
      <c r="C3242" s="5"/>
      <c r="D3242" s="5"/>
      <c r="E3242" s="5"/>
      <c r="F3242" s="5"/>
      <c r="G3242" s="5"/>
    </row>
    <row r="3243" spans="1:26" customHeight="1" ht="36" hidden="true" outlineLevel="3">
      <c r="A3243" s="2" t="s">
        <v>6087</v>
      </c>
      <c r="B3243" s="3" t="s">
        <v>6088</v>
      </c>
      <c r="C3243" s="2"/>
      <c r="D3243" s="2" t="s">
        <v>16</v>
      </c>
      <c r="E3243" s="4">
        <f>268.30*(1-Z1%)</f>
        <v>268.3</v>
      </c>
      <c r="F3243" s="2">
        <v>1</v>
      </c>
      <c r="G3243" s="2"/>
    </row>
    <row r="3244" spans="1:26" customHeight="1" ht="36" hidden="true" outlineLevel="3">
      <c r="A3244" s="2" t="s">
        <v>6089</v>
      </c>
      <c r="B3244" s="3" t="s">
        <v>6090</v>
      </c>
      <c r="C3244" s="2"/>
      <c r="D3244" s="2" t="s">
        <v>16</v>
      </c>
      <c r="E3244" s="4">
        <f>245.80*(1-Z1%)</f>
        <v>245.8</v>
      </c>
      <c r="F3244" s="2">
        <v>1</v>
      </c>
      <c r="G3244" s="2"/>
    </row>
    <row r="3245" spans="1:26" customHeight="1" ht="36" hidden="true" outlineLevel="3">
      <c r="A3245" s="2" t="s">
        <v>6091</v>
      </c>
      <c r="B3245" s="3" t="s">
        <v>6092</v>
      </c>
      <c r="C3245" s="2"/>
      <c r="D3245" s="2" t="s">
        <v>16</v>
      </c>
      <c r="E3245" s="4">
        <f>250.26*(1-Z1%)</f>
        <v>250.26</v>
      </c>
      <c r="F3245" s="2">
        <v>1</v>
      </c>
      <c r="G3245" s="2"/>
    </row>
    <row r="3246" spans="1:26" customHeight="1" ht="36" hidden="true" outlineLevel="3">
      <c r="A3246" s="2" t="s">
        <v>6093</v>
      </c>
      <c r="B3246" s="3" t="s">
        <v>6094</v>
      </c>
      <c r="C3246" s="2"/>
      <c r="D3246" s="2" t="s">
        <v>16</v>
      </c>
      <c r="E3246" s="4">
        <f>209.75*(1-Z1%)</f>
        <v>209.75</v>
      </c>
      <c r="F3246" s="2">
        <v>1</v>
      </c>
      <c r="G3246" s="2"/>
    </row>
    <row r="3247" spans="1:26" customHeight="1" ht="36" hidden="true" outlineLevel="3">
      <c r="A3247" s="2" t="s">
        <v>6095</v>
      </c>
      <c r="B3247" s="3" t="s">
        <v>6096</v>
      </c>
      <c r="C3247" s="2"/>
      <c r="D3247" s="2" t="s">
        <v>16</v>
      </c>
      <c r="E3247" s="4">
        <f>225.23*(1-Z1%)</f>
        <v>225.23</v>
      </c>
      <c r="F3247" s="2">
        <v>1</v>
      </c>
      <c r="G3247" s="2"/>
    </row>
    <row r="3248" spans="1:26" customHeight="1" ht="36" hidden="true" outlineLevel="3">
      <c r="A3248" s="2" t="s">
        <v>6097</v>
      </c>
      <c r="B3248" s="3" t="s">
        <v>6098</v>
      </c>
      <c r="C3248" s="2"/>
      <c r="D3248" s="2" t="s">
        <v>16</v>
      </c>
      <c r="E3248" s="4">
        <f>232.88*(1-Z1%)</f>
        <v>232.88</v>
      </c>
      <c r="F3248" s="2">
        <v>1</v>
      </c>
      <c r="G3248" s="2"/>
    </row>
    <row r="3249" spans="1:26" customHeight="1" ht="36" hidden="true" outlineLevel="3">
      <c r="A3249" s="2" t="s">
        <v>6099</v>
      </c>
      <c r="B3249" s="3" t="s">
        <v>6100</v>
      </c>
      <c r="C3249" s="2"/>
      <c r="D3249" s="2" t="s">
        <v>16</v>
      </c>
      <c r="E3249" s="4">
        <f>348.47*(1-Z1%)</f>
        <v>348.47</v>
      </c>
      <c r="F3249" s="2">
        <v>1</v>
      </c>
      <c r="G3249" s="2"/>
    </row>
    <row r="3250" spans="1:26" customHeight="1" ht="36" hidden="true" outlineLevel="3">
      <c r="A3250" s="2" t="s">
        <v>6101</v>
      </c>
      <c r="B3250" s="3" t="s">
        <v>6102</v>
      </c>
      <c r="C3250" s="2"/>
      <c r="D3250" s="2" t="s">
        <v>16</v>
      </c>
      <c r="E3250" s="4">
        <f>390.31*(1-Z1%)</f>
        <v>390.31</v>
      </c>
      <c r="F3250" s="2">
        <v>1</v>
      </c>
      <c r="G3250" s="2"/>
    </row>
    <row r="3251" spans="1:26" customHeight="1" ht="36" hidden="true" outlineLevel="3">
      <c r="A3251" s="2" t="s">
        <v>6103</v>
      </c>
      <c r="B3251" s="3" t="s">
        <v>6104</v>
      </c>
      <c r="C3251" s="2"/>
      <c r="D3251" s="2" t="s">
        <v>16</v>
      </c>
      <c r="E3251" s="4">
        <f>231.55*(1-Z1%)</f>
        <v>231.55</v>
      </c>
      <c r="F3251" s="2">
        <v>2</v>
      </c>
      <c r="G3251" s="2"/>
    </row>
    <row r="3252" spans="1:26" customHeight="1" ht="36" hidden="true" outlineLevel="3">
      <c r="A3252" s="2" t="s">
        <v>6105</v>
      </c>
      <c r="B3252" s="3" t="s">
        <v>6106</v>
      </c>
      <c r="C3252" s="2"/>
      <c r="D3252" s="2" t="s">
        <v>16</v>
      </c>
      <c r="E3252" s="4">
        <f>262.18*(1-Z1%)</f>
        <v>262.18</v>
      </c>
      <c r="F3252" s="2">
        <v>2</v>
      </c>
      <c r="G3252" s="2"/>
    </row>
    <row r="3253" spans="1:26" customHeight="1" ht="35" hidden="true" outlineLevel="3">
      <c r="A3253" s="5" t="s">
        <v>6107</v>
      </c>
      <c r="B3253" s="5"/>
      <c r="C3253" s="5"/>
      <c r="D3253" s="5"/>
      <c r="E3253" s="5"/>
      <c r="F3253" s="5"/>
      <c r="G3253" s="5"/>
    </row>
    <row r="3254" spans="1:26" customHeight="1" ht="18" hidden="true" outlineLevel="3">
      <c r="A3254" s="2" t="s">
        <v>6108</v>
      </c>
      <c r="B3254" s="3" t="s">
        <v>6109</v>
      </c>
      <c r="C3254" s="2"/>
      <c r="D3254" s="2" t="s">
        <v>16</v>
      </c>
      <c r="E3254" s="4">
        <f>594.00*(1-Z1%)</f>
        <v>594</v>
      </c>
      <c r="F3254" s="2">
        <v>1</v>
      </c>
      <c r="G3254" s="2"/>
    </row>
    <row r="3255" spans="1:26" customHeight="1" ht="18" hidden="true" outlineLevel="3">
      <c r="A3255" s="2" t="s">
        <v>6110</v>
      </c>
      <c r="B3255" s="3" t="s">
        <v>6111</v>
      </c>
      <c r="C3255" s="2"/>
      <c r="D3255" s="2" t="s">
        <v>16</v>
      </c>
      <c r="E3255" s="4">
        <f>720.23*(1-Z1%)</f>
        <v>720.23</v>
      </c>
      <c r="F3255" s="2">
        <v>1</v>
      </c>
      <c r="G3255" s="2"/>
    </row>
    <row r="3256" spans="1:26" customHeight="1" ht="18" hidden="true" outlineLevel="3">
      <c r="A3256" s="2" t="s">
        <v>6112</v>
      </c>
      <c r="B3256" s="3" t="s">
        <v>6113</v>
      </c>
      <c r="C3256" s="2"/>
      <c r="D3256" s="2" t="s">
        <v>16</v>
      </c>
      <c r="E3256" s="4">
        <f>757.35*(1-Z1%)</f>
        <v>757.35</v>
      </c>
      <c r="F3256" s="2">
        <v>1</v>
      </c>
      <c r="G3256" s="2"/>
    </row>
    <row r="3257" spans="1:26" customHeight="1" ht="18" hidden="true" outlineLevel="3">
      <c r="A3257" s="2" t="s">
        <v>6114</v>
      </c>
      <c r="B3257" s="3" t="s">
        <v>6115</v>
      </c>
      <c r="C3257" s="2"/>
      <c r="D3257" s="2" t="s">
        <v>16</v>
      </c>
      <c r="E3257" s="4">
        <f>469.08*(1-Z1%)</f>
        <v>469.08</v>
      </c>
      <c r="F3257" s="2">
        <v>3</v>
      </c>
      <c r="G3257" s="2"/>
    </row>
    <row r="3258" spans="1:26" customHeight="1" ht="18" hidden="true" outlineLevel="3">
      <c r="A3258" s="2" t="s">
        <v>6116</v>
      </c>
      <c r="B3258" s="3" t="s">
        <v>6117</v>
      </c>
      <c r="C3258" s="2"/>
      <c r="D3258" s="2" t="s">
        <v>16</v>
      </c>
      <c r="E3258" s="4">
        <f>1013.34*(1-Z1%)</f>
        <v>1013.34</v>
      </c>
      <c r="F3258" s="2">
        <v>1</v>
      </c>
      <c r="G3258" s="2"/>
    </row>
    <row r="3259" spans="1:26" customHeight="1" ht="18" hidden="true" outlineLevel="3">
      <c r="A3259" s="2" t="s">
        <v>6118</v>
      </c>
      <c r="B3259" s="3" t="s">
        <v>6119</v>
      </c>
      <c r="C3259" s="2"/>
      <c r="D3259" s="2" t="s">
        <v>16</v>
      </c>
      <c r="E3259" s="4">
        <f>1300.62*(1-Z1%)</f>
        <v>1300.62</v>
      </c>
      <c r="F3259" s="2">
        <v>2</v>
      </c>
      <c r="G3259" s="2"/>
    </row>
    <row r="3260" spans="1:26" customHeight="1" ht="18" hidden="true" outlineLevel="3">
      <c r="A3260" s="2" t="s">
        <v>6120</v>
      </c>
      <c r="B3260" s="3" t="s">
        <v>6121</v>
      </c>
      <c r="C3260" s="2"/>
      <c r="D3260" s="2" t="s">
        <v>16</v>
      </c>
      <c r="E3260" s="4">
        <f>412.97*(1-Z1%)</f>
        <v>412.97</v>
      </c>
      <c r="F3260" s="2">
        <v>1</v>
      </c>
      <c r="G3260" s="2"/>
    </row>
    <row r="3261" spans="1:26" customHeight="1" ht="18" hidden="true" outlineLevel="3">
      <c r="A3261" s="2" t="s">
        <v>6122</v>
      </c>
      <c r="B3261" s="3" t="s">
        <v>6123</v>
      </c>
      <c r="C3261" s="2"/>
      <c r="D3261" s="2" t="s">
        <v>16</v>
      </c>
      <c r="E3261" s="4">
        <f>339.76*(1-Z1%)</f>
        <v>339.76</v>
      </c>
      <c r="F3261" s="2">
        <v>3</v>
      </c>
      <c r="G3261" s="2"/>
    </row>
    <row r="3262" spans="1:26" customHeight="1" ht="18" hidden="true" outlineLevel="3">
      <c r="A3262" s="2" t="s">
        <v>6124</v>
      </c>
      <c r="B3262" s="3" t="s">
        <v>6125</v>
      </c>
      <c r="C3262" s="2"/>
      <c r="D3262" s="2" t="s">
        <v>16</v>
      </c>
      <c r="E3262" s="4">
        <f>317.42*(1-Z1%)</f>
        <v>317.42</v>
      </c>
      <c r="F3262" s="2">
        <v>3</v>
      </c>
      <c r="G3262" s="2"/>
    </row>
    <row r="3263" spans="1:26" customHeight="1" ht="18" hidden="true" outlineLevel="3">
      <c r="A3263" s="2" t="s">
        <v>6126</v>
      </c>
      <c r="B3263" s="3" t="s">
        <v>6127</v>
      </c>
      <c r="C3263" s="2"/>
      <c r="D3263" s="2" t="s">
        <v>16</v>
      </c>
      <c r="E3263" s="4">
        <f>360.92*(1-Z1%)</f>
        <v>360.92</v>
      </c>
      <c r="F3263" s="2">
        <v>1</v>
      </c>
      <c r="G3263" s="2"/>
    </row>
    <row r="3264" spans="1:26" customHeight="1" ht="36" hidden="true" outlineLevel="3">
      <c r="A3264" s="2" t="s">
        <v>6128</v>
      </c>
      <c r="B3264" s="3" t="s">
        <v>6129</v>
      </c>
      <c r="C3264" s="2"/>
      <c r="D3264" s="2" t="s">
        <v>16</v>
      </c>
      <c r="E3264" s="4">
        <f>401.61*(1-Z1%)</f>
        <v>401.61</v>
      </c>
      <c r="F3264" s="2">
        <v>5</v>
      </c>
      <c r="G3264" s="2"/>
    </row>
    <row r="3265" spans="1:26" customHeight="1" ht="36" hidden="true" outlineLevel="3">
      <c r="A3265" s="2" t="s">
        <v>6130</v>
      </c>
      <c r="B3265" s="3" t="s">
        <v>6131</v>
      </c>
      <c r="C3265" s="2"/>
      <c r="D3265" s="2" t="s">
        <v>16</v>
      </c>
      <c r="E3265" s="4">
        <f>171.52*(1-Z1%)</f>
        <v>171.52</v>
      </c>
      <c r="F3265" s="2">
        <v>10</v>
      </c>
      <c r="G3265" s="2"/>
    </row>
    <row r="3266" spans="1:26" customHeight="1" ht="36" hidden="true" outlineLevel="3">
      <c r="A3266" s="2" t="s">
        <v>6132</v>
      </c>
      <c r="B3266" s="3" t="s">
        <v>6133</v>
      </c>
      <c r="C3266" s="2"/>
      <c r="D3266" s="2" t="s">
        <v>16</v>
      </c>
      <c r="E3266" s="4">
        <f>191.87*(1-Z1%)</f>
        <v>191.87</v>
      </c>
      <c r="F3266" s="2">
        <v>5</v>
      </c>
      <c r="G3266" s="2"/>
    </row>
    <row r="3267" spans="1:26" customHeight="1" ht="36" hidden="true" outlineLevel="3">
      <c r="A3267" s="2" t="s">
        <v>6134</v>
      </c>
      <c r="B3267" s="3" t="s">
        <v>6135</v>
      </c>
      <c r="C3267" s="2"/>
      <c r="D3267" s="2" t="s">
        <v>16</v>
      </c>
      <c r="E3267" s="4">
        <f>317.00*(1-Z1%)</f>
        <v>317</v>
      </c>
      <c r="F3267" s="2">
        <v>3</v>
      </c>
      <c r="G3267" s="2"/>
    </row>
    <row r="3268" spans="1:26" customHeight="1" ht="18" hidden="true" outlineLevel="3">
      <c r="A3268" s="2" t="s">
        <v>6136</v>
      </c>
      <c r="B3268" s="3" t="s">
        <v>6137</v>
      </c>
      <c r="C3268" s="2"/>
      <c r="D3268" s="2" t="s">
        <v>16</v>
      </c>
      <c r="E3268" s="4">
        <f>288.34*(1-Z1%)</f>
        <v>288.34</v>
      </c>
      <c r="F3268" s="2">
        <v>4</v>
      </c>
      <c r="G3268" s="2"/>
    </row>
    <row r="3269" spans="1:26" customHeight="1" ht="18" hidden="true" outlineLevel="3">
      <c r="A3269" s="2" t="s">
        <v>6138</v>
      </c>
      <c r="B3269" s="3" t="s">
        <v>6139</v>
      </c>
      <c r="C3269" s="2"/>
      <c r="D3269" s="2" t="s">
        <v>16</v>
      </c>
      <c r="E3269" s="4">
        <f>368.78*(1-Z1%)</f>
        <v>368.78</v>
      </c>
      <c r="F3269" s="2">
        <v>2</v>
      </c>
      <c r="G3269" s="2"/>
    </row>
    <row r="3270" spans="1:26" customHeight="1" ht="18" hidden="true" outlineLevel="3">
      <c r="A3270" s="2" t="s">
        <v>6140</v>
      </c>
      <c r="B3270" s="3" t="s">
        <v>6141</v>
      </c>
      <c r="C3270" s="2"/>
      <c r="D3270" s="2" t="s">
        <v>16</v>
      </c>
      <c r="E3270" s="4">
        <f>310.62*(1-Z1%)</f>
        <v>310.62</v>
      </c>
      <c r="F3270" s="2">
        <v>1</v>
      </c>
      <c r="G3270" s="2"/>
    </row>
    <row r="3271" spans="1:26" customHeight="1" ht="35" hidden="true" outlineLevel="3">
      <c r="A3271" s="5" t="s">
        <v>6142</v>
      </c>
      <c r="B3271" s="5"/>
      <c r="C3271" s="5"/>
      <c r="D3271" s="5"/>
      <c r="E3271" s="5"/>
      <c r="F3271" s="5"/>
      <c r="G3271" s="5"/>
    </row>
    <row r="3272" spans="1:26" customHeight="1" ht="36" hidden="true" outlineLevel="3">
      <c r="A3272" s="2" t="s">
        <v>6143</v>
      </c>
      <c r="B3272" s="3" t="s">
        <v>6144</v>
      </c>
      <c r="C3272" s="2"/>
      <c r="D3272" s="2" t="s">
        <v>16</v>
      </c>
      <c r="E3272" s="4">
        <f>643.78*(1-Z1%)</f>
        <v>643.78</v>
      </c>
      <c r="F3272" s="2">
        <v>1</v>
      </c>
      <c r="G3272" s="2"/>
    </row>
    <row r="3273" spans="1:26" customHeight="1" ht="36" hidden="true" outlineLevel="3">
      <c r="A3273" s="2" t="s">
        <v>6145</v>
      </c>
      <c r="B3273" s="3" t="s">
        <v>6146</v>
      </c>
      <c r="C3273" s="2"/>
      <c r="D3273" s="2" t="s">
        <v>16</v>
      </c>
      <c r="E3273" s="4">
        <f>240.06*(1-Z1%)</f>
        <v>240.06</v>
      </c>
      <c r="F3273" s="2">
        <v>2</v>
      </c>
      <c r="G3273" s="2"/>
    </row>
    <row r="3274" spans="1:26" customHeight="1" ht="36" hidden="true" outlineLevel="3">
      <c r="A3274" s="2" t="s">
        <v>6147</v>
      </c>
      <c r="B3274" s="3" t="s">
        <v>6148</v>
      </c>
      <c r="C3274" s="2"/>
      <c r="D3274" s="2" t="s">
        <v>16</v>
      </c>
      <c r="E3274" s="4">
        <f>643.84*(1-Z1%)</f>
        <v>643.84</v>
      </c>
      <c r="F3274" s="2">
        <v>2</v>
      </c>
      <c r="G3274" s="2"/>
    </row>
    <row r="3275" spans="1:26" customHeight="1" ht="18" hidden="true" outlineLevel="3">
      <c r="A3275" s="2" t="s">
        <v>6149</v>
      </c>
      <c r="B3275" s="3" t="s">
        <v>6150</v>
      </c>
      <c r="C3275" s="2"/>
      <c r="D3275" s="2" t="s">
        <v>16</v>
      </c>
      <c r="E3275" s="4">
        <f>708.75*(1-Z1%)</f>
        <v>708.75</v>
      </c>
      <c r="F3275" s="2">
        <v>1</v>
      </c>
      <c r="G3275" s="2"/>
    </row>
    <row r="3276" spans="1:26" customHeight="1" ht="18" hidden="true" outlineLevel="3">
      <c r="A3276" s="2" t="s">
        <v>6151</v>
      </c>
      <c r="B3276" s="3" t="s">
        <v>6152</v>
      </c>
      <c r="C3276" s="2"/>
      <c r="D3276" s="2" t="s">
        <v>16</v>
      </c>
      <c r="E3276" s="4">
        <f>739.47*(1-Z1%)</f>
        <v>739.47</v>
      </c>
      <c r="F3276" s="2">
        <v>1</v>
      </c>
      <c r="G3276" s="2"/>
    </row>
    <row r="3277" spans="1:26" customHeight="1" ht="18" hidden="true" outlineLevel="3">
      <c r="A3277" s="2" t="s">
        <v>6153</v>
      </c>
      <c r="B3277" s="3" t="s">
        <v>6154</v>
      </c>
      <c r="C3277" s="2"/>
      <c r="D3277" s="2" t="s">
        <v>16</v>
      </c>
      <c r="E3277" s="4">
        <f>610.77*(1-Z1%)</f>
        <v>610.77</v>
      </c>
      <c r="F3277" s="2">
        <v>1</v>
      </c>
      <c r="G3277" s="2"/>
    </row>
    <row r="3278" spans="1:26" customHeight="1" ht="35" hidden="true" outlineLevel="3">
      <c r="A3278" s="5" t="s">
        <v>6155</v>
      </c>
      <c r="B3278" s="5"/>
      <c r="C3278" s="5"/>
      <c r="D3278" s="5"/>
      <c r="E3278" s="5"/>
      <c r="F3278" s="5"/>
      <c r="G3278" s="5"/>
    </row>
    <row r="3279" spans="1:26" customHeight="1" ht="36" hidden="true" outlineLevel="3">
      <c r="A3279" s="2" t="s">
        <v>6156</v>
      </c>
      <c r="B3279" s="3" t="s">
        <v>6157</v>
      </c>
      <c r="C3279" s="2"/>
      <c r="D3279" s="2" t="s">
        <v>16</v>
      </c>
      <c r="E3279" s="4">
        <f>113.80*(1-Z1%)</f>
        <v>113.8</v>
      </c>
      <c r="F3279" s="2">
        <v>1</v>
      </c>
      <c r="G3279" s="2"/>
    </row>
    <row r="3280" spans="1:26" customHeight="1" ht="36" hidden="true" outlineLevel="3">
      <c r="A3280" s="2" t="s">
        <v>6158</v>
      </c>
      <c r="B3280" s="3" t="s">
        <v>6159</v>
      </c>
      <c r="C3280" s="2"/>
      <c r="D3280" s="2" t="s">
        <v>16</v>
      </c>
      <c r="E3280" s="4">
        <f>125.22*(1-Z1%)</f>
        <v>125.22</v>
      </c>
      <c r="F3280" s="2">
        <v>1</v>
      </c>
      <c r="G3280" s="2"/>
    </row>
    <row r="3281" spans="1:26" customHeight="1" ht="36" hidden="true" outlineLevel="3">
      <c r="A3281" s="2" t="s">
        <v>6160</v>
      </c>
      <c r="B3281" s="3" t="s">
        <v>6161</v>
      </c>
      <c r="C3281" s="2"/>
      <c r="D3281" s="2" t="s">
        <v>16</v>
      </c>
      <c r="E3281" s="4">
        <f>110.27*(1-Z1%)</f>
        <v>110.27</v>
      </c>
      <c r="F3281" s="2">
        <v>6</v>
      </c>
      <c r="G3281" s="2"/>
    </row>
    <row r="3282" spans="1:26" customHeight="1" ht="18" hidden="true" outlineLevel="3">
      <c r="A3282" s="2" t="s">
        <v>6162</v>
      </c>
      <c r="B3282" s="3" t="s">
        <v>6163</v>
      </c>
      <c r="C3282" s="2"/>
      <c r="D3282" s="2" t="s">
        <v>16</v>
      </c>
      <c r="E3282" s="4">
        <f>210.16*(1-Z1%)</f>
        <v>210.16</v>
      </c>
      <c r="F3282" s="2">
        <v>4</v>
      </c>
      <c r="G3282" s="2"/>
    </row>
    <row r="3283" spans="1:26" customHeight="1" ht="36" hidden="true" outlineLevel="3">
      <c r="A3283" s="2" t="s">
        <v>6164</v>
      </c>
      <c r="B3283" s="3" t="s">
        <v>6165</v>
      </c>
      <c r="C3283" s="2"/>
      <c r="D3283" s="2" t="s">
        <v>16</v>
      </c>
      <c r="E3283" s="4">
        <f>88.36*(1-Z1%)</f>
        <v>88.36</v>
      </c>
      <c r="F3283" s="2">
        <v>4</v>
      </c>
      <c r="G3283" s="2"/>
    </row>
    <row r="3284" spans="1:26" customHeight="1" ht="35" hidden="true" outlineLevel="2">
      <c r="A3284" s="5" t="s">
        <v>6166</v>
      </c>
      <c r="B3284" s="5"/>
      <c r="C3284" s="5"/>
      <c r="D3284" s="5"/>
      <c r="E3284" s="5"/>
      <c r="F3284" s="5"/>
      <c r="G3284" s="5"/>
    </row>
    <row r="3285" spans="1:26" customHeight="1" ht="35" hidden="true" outlineLevel="3">
      <c r="A3285" s="5" t="s">
        <v>6167</v>
      </c>
      <c r="B3285" s="5"/>
      <c r="C3285" s="5"/>
      <c r="D3285" s="5"/>
      <c r="E3285" s="5"/>
      <c r="F3285" s="5"/>
      <c r="G3285" s="5"/>
    </row>
    <row r="3286" spans="1:26" customHeight="1" ht="18" hidden="true" outlineLevel="3">
      <c r="A3286" s="2" t="s">
        <v>6168</v>
      </c>
      <c r="B3286" s="3" t="s">
        <v>6169</v>
      </c>
      <c r="C3286" s="2"/>
      <c r="D3286" s="2" t="s">
        <v>16</v>
      </c>
      <c r="E3286" s="4">
        <f>34.09*(1-Z1%)</f>
        <v>34.09</v>
      </c>
      <c r="F3286" s="2">
        <v>10</v>
      </c>
      <c r="G3286" s="2"/>
    </row>
    <row r="3287" spans="1:26" customHeight="1" ht="36" hidden="true" outlineLevel="3">
      <c r="A3287" s="2" t="s">
        <v>6170</v>
      </c>
      <c r="B3287" s="3" t="s">
        <v>6171</v>
      </c>
      <c r="C3287" s="2"/>
      <c r="D3287" s="2" t="s">
        <v>16</v>
      </c>
      <c r="E3287" s="4">
        <f>49.38*(1-Z1%)</f>
        <v>49.38</v>
      </c>
      <c r="F3287" s="2">
        <v>3</v>
      </c>
      <c r="G3287" s="2"/>
    </row>
    <row r="3288" spans="1:26" customHeight="1" ht="36" hidden="true" outlineLevel="3">
      <c r="A3288" s="2" t="s">
        <v>6172</v>
      </c>
      <c r="B3288" s="3" t="s">
        <v>6173</v>
      </c>
      <c r="C3288" s="2"/>
      <c r="D3288" s="2" t="s">
        <v>16</v>
      </c>
      <c r="E3288" s="4">
        <f>61.14*(1-Z1%)</f>
        <v>61.14</v>
      </c>
      <c r="F3288" s="2">
        <v>3</v>
      </c>
      <c r="G3288" s="2"/>
    </row>
    <row r="3289" spans="1:26" customHeight="1" ht="18" hidden="true" outlineLevel="3">
      <c r="A3289" s="2" t="s">
        <v>6174</v>
      </c>
      <c r="B3289" s="3" t="s">
        <v>6175</v>
      </c>
      <c r="C3289" s="2"/>
      <c r="D3289" s="2" t="s">
        <v>16</v>
      </c>
      <c r="E3289" s="4">
        <f>258.32*(1-Z1%)</f>
        <v>258.32</v>
      </c>
      <c r="F3289" s="2">
        <v>3</v>
      </c>
      <c r="G3289" s="2"/>
    </row>
    <row r="3290" spans="1:26" customHeight="1" ht="36" hidden="true" outlineLevel="3">
      <c r="A3290" s="2" t="s">
        <v>6176</v>
      </c>
      <c r="B3290" s="3" t="s">
        <v>6177</v>
      </c>
      <c r="C3290" s="2"/>
      <c r="D3290" s="2" t="s">
        <v>16</v>
      </c>
      <c r="E3290" s="4">
        <f>346.81*(1-Z1%)</f>
        <v>346.81</v>
      </c>
      <c r="F3290" s="2">
        <v>5</v>
      </c>
      <c r="G3290" s="2"/>
    </row>
    <row r="3291" spans="1:26" customHeight="1" ht="36" hidden="true" outlineLevel="3">
      <c r="A3291" s="2" t="s">
        <v>6178</v>
      </c>
      <c r="B3291" s="3" t="s">
        <v>6179</v>
      </c>
      <c r="C3291" s="2"/>
      <c r="D3291" s="2" t="s">
        <v>16</v>
      </c>
      <c r="E3291" s="4">
        <f>185.58*(1-Z1%)</f>
        <v>185.58</v>
      </c>
      <c r="F3291" s="2">
        <v>2</v>
      </c>
      <c r="G3291" s="2"/>
    </row>
    <row r="3292" spans="1:26" customHeight="1" ht="36" hidden="true" outlineLevel="3">
      <c r="A3292" s="2" t="s">
        <v>6180</v>
      </c>
      <c r="B3292" s="3" t="s">
        <v>6181</v>
      </c>
      <c r="C3292" s="2"/>
      <c r="D3292" s="2" t="s">
        <v>16</v>
      </c>
      <c r="E3292" s="4">
        <f>173.25*(1-Z1%)</f>
        <v>173.25</v>
      </c>
      <c r="F3292" s="2">
        <v>6</v>
      </c>
      <c r="G3292" s="2"/>
    </row>
    <row r="3293" spans="1:26" customHeight="1" ht="36" hidden="true" outlineLevel="3">
      <c r="A3293" s="2" t="s">
        <v>6182</v>
      </c>
      <c r="B3293" s="3" t="s">
        <v>6183</v>
      </c>
      <c r="C3293" s="2"/>
      <c r="D3293" s="2" t="s">
        <v>16</v>
      </c>
      <c r="E3293" s="4">
        <f>173.25*(1-Z1%)</f>
        <v>173.25</v>
      </c>
      <c r="F3293" s="2">
        <v>8</v>
      </c>
      <c r="G3293" s="2"/>
    </row>
    <row r="3294" spans="1:26" customHeight="1" ht="18" hidden="true" outlineLevel="3">
      <c r="A3294" s="2" t="s">
        <v>6184</v>
      </c>
      <c r="B3294" s="3" t="s">
        <v>6185</v>
      </c>
      <c r="C3294" s="2"/>
      <c r="D3294" s="2" t="s">
        <v>16</v>
      </c>
      <c r="E3294" s="4">
        <f>81.50*(1-Z1%)</f>
        <v>81.5</v>
      </c>
      <c r="F3294" s="2">
        <v>2</v>
      </c>
      <c r="G3294" s="2"/>
    </row>
    <row r="3295" spans="1:26" customHeight="1" ht="36" hidden="true" outlineLevel="3">
      <c r="A3295" s="2" t="s">
        <v>6186</v>
      </c>
      <c r="B3295" s="3" t="s">
        <v>6187</v>
      </c>
      <c r="C3295" s="2"/>
      <c r="D3295" s="2" t="s">
        <v>16</v>
      </c>
      <c r="E3295" s="4">
        <f>176.11*(1-Z1%)</f>
        <v>176.11</v>
      </c>
      <c r="F3295" s="2">
        <v>3</v>
      </c>
      <c r="G3295" s="2"/>
    </row>
    <row r="3296" spans="1:26" customHeight="1" ht="18" hidden="true" outlineLevel="3">
      <c r="A3296" s="2" t="s">
        <v>6188</v>
      </c>
      <c r="B3296" s="3" t="s">
        <v>6189</v>
      </c>
      <c r="C3296" s="2"/>
      <c r="D3296" s="2" t="s">
        <v>16</v>
      </c>
      <c r="E3296" s="4">
        <f>92.82*(1-Z1%)</f>
        <v>92.82</v>
      </c>
      <c r="F3296" s="2">
        <v>6</v>
      </c>
      <c r="G3296" s="2"/>
    </row>
    <row r="3297" spans="1:26" customHeight="1" ht="18" hidden="true" outlineLevel="3">
      <c r="A3297" s="2" t="s">
        <v>6190</v>
      </c>
      <c r="B3297" s="3" t="s">
        <v>6191</v>
      </c>
      <c r="C3297" s="2"/>
      <c r="D3297" s="2" t="s">
        <v>16</v>
      </c>
      <c r="E3297" s="4">
        <f>92.82*(1-Z1%)</f>
        <v>92.82</v>
      </c>
      <c r="F3297" s="2">
        <v>3</v>
      </c>
      <c r="G3297" s="2"/>
    </row>
    <row r="3298" spans="1:26" customHeight="1" ht="18" hidden="true" outlineLevel="3">
      <c r="A3298" s="2" t="s">
        <v>6192</v>
      </c>
      <c r="B3298" s="3" t="s">
        <v>6193</v>
      </c>
      <c r="C3298" s="2"/>
      <c r="D3298" s="2" t="s">
        <v>16</v>
      </c>
      <c r="E3298" s="4">
        <f>111.38*(1-Z1%)</f>
        <v>111.38</v>
      </c>
      <c r="F3298" s="2">
        <v>5</v>
      </c>
      <c r="G3298" s="2"/>
    </row>
    <row r="3299" spans="1:26" customHeight="1" ht="35" hidden="true" outlineLevel="3">
      <c r="A3299" s="5" t="s">
        <v>6194</v>
      </c>
      <c r="B3299" s="5"/>
      <c r="C3299" s="5"/>
      <c r="D3299" s="5"/>
      <c r="E3299" s="5"/>
      <c r="F3299" s="5"/>
      <c r="G3299" s="5"/>
    </row>
    <row r="3300" spans="1:26" customHeight="1" ht="35" hidden="true" outlineLevel="4">
      <c r="A3300" s="5" t="s">
        <v>6195</v>
      </c>
      <c r="B3300" s="5"/>
      <c r="C3300" s="5"/>
      <c r="D3300" s="5"/>
      <c r="E3300" s="5"/>
      <c r="F3300" s="5"/>
      <c r="G3300" s="5"/>
    </row>
    <row r="3301" spans="1:26" customHeight="1" ht="36" hidden="true" outlineLevel="4">
      <c r="A3301" s="2" t="s">
        <v>6196</v>
      </c>
      <c r="B3301" s="3" t="s">
        <v>6197</v>
      </c>
      <c r="C3301" s="2"/>
      <c r="D3301" s="2" t="s">
        <v>16</v>
      </c>
      <c r="E3301" s="4">
        <f>18.57*(1-Z1%)</f>
        <v>18.57</v>
      </c>
      <c r="F3301" s="2">
        <v>7</v>
      </c>
      <c r="G3301" s="2"/>
    </row>
    <row r="3302" spans="1:26" customHeight="1" ht="36" hidden="true" outlineLevel="4">
      <c r="A3302" s="2" t="s">
        <v>6198</v>
      </c>
      <c r="B3302" s="3" t="s">
        <v>6199</v>
      </c>
      <c r="C3302" s="2"/>
      <c r="D3302" s="2" t="s">
        <v>16</v>
      </c>
      <c r="E3302" s="4">
        <f>18.57*(1-Z1%)</f>
        <v>18.57</v>
      </c>
      <c r="F3302" s="2">
        <v>5</v>
      </c>
      <c r="G3302" s="2"/>
    </row>
    <row r="3303" spans="1:26" customHeight="1" ht="18" hidden="true" outlineLevel="4">
      <c r="A3303" s="2" t="s">
        <v>6200</v>
      </c>
      <c r="B3303" s="3" t="s">
        <v>6201</v>
      </c>
      <c r="C3303" s="2"/>
      <c r="D3303" s="2" t="s">
        <v>16</v>
      </c>
      <c r="E3303" s="4">
        <f>151.96*(1-Z1%)</f>
        <v>151.96</v>
      </c>
      <c r="F3303" s="2">
        <v>9</v>
      </c>
      <c r="G3303" s="2"/>
    </row>
    <row r="3304" spans="1:26" customHeight="1" ht="18" hidden="true" outlineLevel="4">
      <c r="A3304" s="2" t="s">
        <v>6202</v>
      </c>
      <c r="B3304" s="3" t="s">
        <v>6203</v>
      </c>
      <c r="C3304" s="2"/>
      <c r="D3304" s="2" t="s">
        <v>16</v>
      </c>
      <c r="E3304" s="4">
        <f>167.15*(1-Z1%)</f>
        <v>167.15</v>
      </c>
      <c r="F3304" s="2">
        <v>13</v>
      </c>
      <c r="G3304" s="2"/>
    </row>
    <row r="3305" spans="1:26" customHeight="1" ht="35" hidden="true" outlineLevel="4">
      <c r="A3305" s="5" t="s">
        <v>6204</v>
      </c>
      <c r="B3305" s="5"/>
      <c r="C3305" s="5"/>
      <c r="D3305" s="5"/>
      <c r="E3305" s="5"/>
      <c r="F3305" s="5"/>
      <c r="G3305" s="5"/>
    </row>
    <row r="3306" spans="1:26" customHeight="1" ht="18" hidden="true" outlineLevel="4">
      <c r="A3306" s="2" t="s">
        <v>6205</v>
      </c>
      <c r="B3306" s="3" t="s">
        <v>6206</v>
      </c>
      <c r="C3306" s="2"/>
      <c r="D3306" s="2" t="s">
        <v>16</v>
      </c>
      <c r="E3306" s="4">
        <f>239.68*(1-Z1%)</f>
        <v>239.68</v>
      </c>
      <c r="F3306" s="2">
        <v>17</v>
      </c>
      <c r="G3306" s="2"/>
    </row>
    <row r="3307" spans="1:26" customHeight="1" ht="18" hidden="true" outlineLevel="4">
      <c r="A3307" s="2" t="s">
        <v>6207</v>
      </c>
      <c r="B3307" s="3" t="s">
        <v>6208</v>
      </c>
      <c r="C3307" s="2"/>
      <c r="D3307" s="2" t="s">
        <v>16</v>
      </c>
      <c r="E3307" s="4">
        <f>194.22*(1-Z1%)</f>
        <v>194.22</v>
      </c>
      <c r="F3307" s="2">
        <v>21</v>
      </c>
      <c r="G3307" s="2"/>
    </row>
    <row r="3308" spans="1:26" customHeight="1" ht="36" hidden="true" outlineLevel="4">
      <c r="A3308" s="2" t="s">
        <v>6209</v>
      </c>
      <c r="B3308" s="3" t="s">
        <v>6210</v>
      </c>
      <c r="C3308" s="2"/>
      <c r="D3308" s="2" t="s">
        <v>16</v>
      </c>
      <c r="E3308" s="4">
        <f>179.44*(1-Z1%)</f>
        <v>179.44</v>
      </c>
      <c r="F3308" s="2">
        <v>4</v>
      </c>
      <c r="G3308" s="2"/>
    </row>
    <row r="3309" spans="1:26" customHeight="1" ht="18" hidden="true" outlineLevel="4">
      <c r="A3309" s="2" t="s">
        <v>6211</v>
      </c>
      <c r="B3309" s="3" t="s">
        <v>6212</v>
      </c>
      <c r="C3309" s="2"/>
      <c r="D3309" s="2" t="s">
        <v>16</v>
      </c>
      <c r="E3309" s="4">
        <f>100.59*(1-Z1%)</f>
        <v>100.59</v>
      </c>
      <c r="F3309" s="2">
        <v>2</v>
      </c>
      <c r="G3309" s="2"/>
    </row>
    <row r="3310" spans="1:26" customHeight="1" ht="35" hidden="true" outlineLevel="3">
      <c r="A3310" s="5" t="s">
        <v>6213</v>
      </c>
      <c r="B3310" s="5"/>
      <c r="C3310" s="5"/>
      <c r="D3310" s="5"/>
      <c r="E3310" s="5"/>
      <c r="F3310" s="5"/>
      <c r="G3310" s="5"/>
    </row>
    <row r="3311" spans="1:26" customHeight="1" ht="35" hidden="true" outlineLevel="4">
      <c r="A3311" s="5" t="s">
        <v>6214</v>
      </c>
      <c r="B3311" s="5"/>
      <c r="C3311" s="5"/>
      <c r="D3311" s="5"/>
      <c r="E3311" s="5"/>
      <c r="F3311" s="5"/>
      <c r="G3311" s="5"/>
    </row>
    <row r="3312" spans="1:26" customHeight="1" ht="54" hidden="true" outlineLevel="4">
      <c r="A3312" s="2" t="s">
        <v>6215</v>
      </c>
      <c r="B3312" s="3" t="s">
        <v>6216</v>
      </c>
      <c r="C3312" s="2"/>
      <c r="D3312" s="2" t="s">
        <v>16</v>
      </c>
      <c r="E3312" s="4">
        <f>249.06*(1-Z1%)</f>
        <v>249.06</v>
      </c>
      <c r="F3312" s="2">
        <v>1</v>
      </c>
      <c r="G3312" s="2"/>
    </row>
    <row r="3313" spans="1:26" customHeight="1" ht="54" hidden="true" outlineLevel="4">
      <c r="A3313" s="2" t="s">
        <v>6217</v>
      </c>
      <c r="B3313" s="3" t="s">
        <v>6218</v>
      </c>
      <c r="C3313" s="2"/>
      <c r="D3313" s="2" t="s">
        <v>16</v>
      </c>
      <c r="E3313" s="4">
        <f>231.98*(1-Z1%)</f>
        <v>231.98</v>
      </c>
      <c r="F3313" s="2">
        <v>2</v>
      </c>
      <c r="G3313" s="2"/>
    </row>
    <row r="3314" spans="1:26" customHeight="1" ht="35" hidden="true" outlineLevel="4">
      <c r="A3314" s="5" t="s">
        <v>6219</v>
      </c>
      <c r="B3314" s="5"/>
      <c r="C3314" s="5"/>
      <c r="D3314" s="5"/>
      <c r="E3314" s="5"/>
      <c r="F3314" s="5"/>
      <c r="G3314" s="5"/>
    </row>
    <row r="3315" spans="1:26" customHeight="1" ht="18" hidden="true" outlineLevel="4">
      <c r="A3315" s="2" t="s">
        <v>6220</v>
      </c>
      <c r="B3315" s="3" t="s">
        <v>6221</v>
      </c>
      <c r="C3315" s="2"/>
      <c r="D3315" s="2" t="s">
        <v>16</v>
      </c>
      <c r="E3315" s="4">
        <f>34.43*(1-Z1%)</f>
        <v>34.43</v>
      </c>
      <c r="F3315" s="2">
        <v>7</v>
      </c>
      <c r="G3315" s="2"/>
    </row>
    <row r="3316" spans="1:26" customHeight="1" ht="18" hidden="true" outlineLevel="4">
      <c r="A3316" s="2" t="s">
        <v>6222</v>
      </c>
      <c r="B3316" s="3" t="s">
        <v>6223</v>
      </c>
      <c r="C3316" s="2"/>
      <c r="D3316" s="2" t="s">
        <v>16</v>
      </c>
      <c r="E3316" s="4">
        <f>40.46*(1-Z1%)</f>
        <v>40.46</v>
      </c>
      <c r="F3316" s="2">
        <v>8</v>
      </c>
      <c r="G3316" s="2"/>
    </row>
    <row r="3317" spans="1:26" customHeight="1" ht="18" hidden="true" outlineLevel="4">
      <c r="A3317" s="2" t="s">
        <v>6224</v>
      </c>
      <c r="B3317" s="3" t="s">
        <v>6225</v>
      </c>
      <c r="C3317" s="2"/>
      <c r="D3317" s="2" t="s">
        <v>16</v>
      </c>
      <c r="E3317" s="4">
        <f>90.40*(1-Z1%)</f>
        <v>90.4</v>
      </c>
      <c r="F3317" s="2">
        <v>1</v>
      </c>
      <c r="G3317" s="2"/>
    </row>
    <row r="3318" spans="1:26" customHeight="1" ht="35" hidden="true" outlineLevel="4">
      <c r="A3318" s="5" t="s">
        <v>6226</v>
      </c>
      <c r="B3318" s="5"/>
      <c r="C3318" s="5"/>
      <c r="D3318" s="5"/>
      <c r="E3318" s="5"/>
      <c r="F3318" s="5"/>
      <c r="G3318" s="5"/>
    </row>
    <row r="3319" spans="1:26" customHeight="1" ht="18" hidden="true" outlineLevel="4">
      <c r="A3319" s="2" t="s">
        <v>6227</v>
      </c>
      <c r="B3319" s="3" t="s">
        <v>6228</v>
      </c>
      <c r="C3319" s="2"/>
      <c r="D3319" s="2" t="s">
        <v>16</v>
      </c>
      <c r="E3319" s="4">
        <f>161.38*(1-Z1%)</f>
        <v>161.38</v>
      </c>
      <c r="F3319" s="2">
        <v>10</v>
      </c>
      <c r="G3319" s="2"/>
    </row>
    <row r="3320" spans="1:26" customHeight="1" ht="18" hidden="true" outlineLevel="4">
      <c r="A3320" s="2" t="s">
        <v>6229</v>
      </c>
      <c r="B3320" s="3" t="s">
        <v>6230</v>
      </c>
      <c r="C3320" s="2"/>
      <c r="D3320" s="2" t="s">
        <v>16</v>
      </c>
      <c r="E3320" s="4">
        <f>70.39*(1-Z1%)</f>
        <v>70.39</v>
      </c>
      <c r="F3320" s="2">
        <v>6</v>
      </c>
      <c r="G3320" s="2"/>
    </row>
    <row r="3321" spans="1:26" customHeight="1" ht="18" hidden="true" outlineLevel="4">
      <c r="A3321" s="2" t="s">
        <v>6231</v>
      </c>
      <c r="B3321" s="3" t="s">
        <v>6232</v>
      </c>
      <c r="C3321" s="2"/>
      <c r="D3321" s="2" t="s">
        <v>16</v>
      </c>
      <c r="E3321" s="4">
        <f>70.39*(1-Z1%)</f>
        <v>70.39</v>
      </c>
      <c r="F3321" s="2">
        <v>4</v>
      </c>
      <c r="G3321" s="2"/>
    </row>
    <row r="3322" spans="1:26" customHeight="1" ht="18" hidden="true" outlineLevel="4">
      <c r="A3322" s="2" t="s">
        <v>6233</v>
      </c>
      <c r="B3322" s="3" t="s">
        <v>6234</v>
      </c>
      <c r="C3322" s="2"/>
      <c r="D3322" s="2" t="s">
        <v>16</v>
      </c>
      <c r="E3322" s="4">
        <f>74.44*(1-Z1%)</f>
        <v>74.44</v>
      </c>
      <c r="F3322" s="2">
        <v>16</v>
      </c>
      <c r="G3322" s="2"/>
    </row>
    <row r="3323" spans="1:26" customHeight="1" ht="18" hidden="true" outlineLevel="4">
      <c r="A3323" s="2" t="s">
        <v>6235</v>
      </c>
      <c r="B3323" s="3" t="s">
        <v>6236</v>
      </c>
      <c r="C3323" s="2"/>
      <c r="D3323" s="2" t="s">
        <v>16</v>
      </c>
      <c r="E3323" s="4">
        <f>81.22*(1-Z1%)</f>
        <v>81.22</v>
      </c>
      <c r="F3323" s="2">
        <v>13</v>
      </c>
      <c r="G3323" s="2"/>
    </row>
    <row r="3324" spans="1:26" customHeight="1" ht="18" hidden="true" outlineLevel="4">
      <c r="A3324" s="2" t="s">
        <v>6237</v>
      </c>
      <c r="B3324" s="3" t="s">
        <v>6238</v>
      </c>
      <c r="C3324" s="2"/>
      <c r="D3324" s="2" t="s">
        <v>16</v>
      </c>
      <c r="E3324" s="4">
        <f>141.70*(1-Z1%)</f>
        <v>141.7</v>
      </c>
      <c r="F3324" s="2">
        <v>2</v>
      </c>
      <c r="G3324" s="2"/>
    </row>
    <row r="3325" spans="1:26" customHeight="1" ht="35" hidden="true" outlineLevel="4">
      <c r="A3325" s="5" t="s">
        <v>6239</v>
      </c>
      <c r="B3325" s="5"/>
      <c r="C3325" s="5"/>
      <c r="D3325" s="5"/>
      <c r="E3325" s="5"/>
      <c r="F3325" s="5"/>
      <c r="G3325" s="5"/>
    </row>
    <row r="3326" spans="1:26" customHeight="1" ht="18" hidden="true" outlineLevel="4">
      <c r="A3326" s="2" t="s">
        <v>6240</v>
      </c>
      <c r="B3326" s="3" t="s">
        <v>6241</v>
      </c>
      <c r="C3326" s="2"/>
      <c r="D3326" s="2" t="s">
        <v>16</v>
      </c>
      <c r="E3326" s="4">
        <f>4.83*(1-Z1%)</f>
        <v>4.83</v>
      </c>
      <c r="F3326" s="2">
        <v>80</v>
      </c>
      <c r="G3326" s="2"/>
    </row>
    <row r="3327" spans="1:26" customHeight="1" ht="18" hidden="true" outlineLevel="4">
      <c r="A3327" s="2" t="s">
        <v>6242</v>
      </c>
      <c r="B3327" s="3" t="s">
        <v>6243</v>
      </c>
      <c r="C3327" s="2"/>
      <c r="D3327" s="2" t="s">
        <v>16</v>
      </c>
      <c r="E3327" s="4">
        <f>4.83*(1-Z1%)</f>
        <v>4.83</v>
      </c>
      <c r="F3327" s="2">
        <v>100</v>
      </c>
      <c r="G3327" s="2"/>
    </row>
    <row r="3328" spans="1:26" customHeight="1" ht="18" hidden="true" outlineLevel="4">
      <c r="A3328" s="2" t="s">
        <v>6244</v>
      </c>
      <c r="B3328" s="3" t="s">
        <v>6245</v>
      </c>
      <c r="C3328" s="2"/>
      <c r="D3328" s="2" t="s">
        <v>16</v>
      </c>
      <c r="E3328" s="4">
        <f>4.83*(1-Z1%)</f>
        <v>4.83</v>
      </c>
      <c r="F3328" s="2">
        <v>90</v>
      </c>
      <c r="G3328" s="2"/>
    </row>
    <row r="3329" spans="1:26" customHeight="1" ht="18" hidden="true" outlineLevel="4">
      <c r="A3329" s="2" t="s">
        <v>6246</v>
      </c>
      <c r="B3329" s="3" t="s">
        <v>6247</v>
      </c>
      <c r="C3329" s="2"/>
      <c r="D3329" s="2" t="s">
        <v>16</v>
      </c>
      <c r="E3329" s="4">
        <f>4.83*(1-Z1%)</f>
        <v>4.83</v>
      </c>
      <c r="F3329" s="2">
        <v>108</v>
      </c>
      <c r="G3329" s="2"/>
    </row>
    <row r="3330" spans="1:26" customHeight="1" ht="36" hidden="true" outlineLevel="4">
      <c r="A3330" s="2" t="s">
        <v>6248</v>
      </c>
      <c r="B3330" s="3" t="s">
        <v>6249</v>
      </c>
      <c r="C3330" s="2"/>
      <c r="D3330" s="2" t="s">
        <v>16</v>
      </c>
      <c r="E3330" s="4">
        <f>4.83*(1-Z1%)</f>
        <v>4.83</v>
      </c>
      <c r="F3330" s="2">
        <v>6</v>
      </c>
      <c r="G3330" s="2"/>
    </row>
    <row r="3331" spans="1:26" customHeight="1" ht="35" hidden="true" outlineLevel="4">
      <c r="A3331" s="5" t="s">
        <v>6250</v>
      </c>
      <c r="B3331" s="5"/>
      <c r="C3331" s="5"/>
      <c r="D3331" s="5"/>
      <c r="E3331" s="5"/>
      <c r="F3331" s="5"/>
      <c r="G3331" s="5"/>
    </row>
    <row r="3332" spans="1:26" customHeight="1" ht="18" hidden="true" outlineLevel="4">
      <c r="A3332" s="2" t="s">
        <v>6251</v>
      </c>
      <c r="B3332" s="3" t="s">
        <v>6252</v>
      </c>
      <c r="C3332" s="2"/>
      <c r="D3332" s="2" t="s">
        <v>16</v>
      </c>
      <c r="E3332" s="4">
        <f>66.38*(1-Z1%)</f>
        <v>66.38</v>
      </c>
      <c r="F3332" s="2">
        <v>4</v>
      </c>
      <c r="G3332" s="2"/>
    </row>
    <row r="3333" spans="1:26" customHeight="1" ht="18" hidden="true" outlineLevel="4">
      <c r="A3333" s="2" t="s">
        <v>6253</v>
      </c>
      <c r="B3333" s="3" t="s">
        <v>6254</v>
      </c>
      <c r="C3333" s="2"/>
      <c r="D3333" s="2" t="s">
        <v>16</v>
      </c>
      <c r="E3333" s="4">
        <f>46.10*(1-Z1%)</f>
        <v>46.1</v>
      </c>
      <c r="F3333" s="2">
        <v>3</v>
      </c>
      <c r="G3333" s="2"/>
    </row>
    <row r="3334" spans="1:26" customHeight="1" ht="18" hidden="true" outlineLevel="4">
      <c r="A3334" s="2" t="s">
        <v>6255</v>
      </c>
      <c r="B3334" s="3" t="s">
        <v>6256</v>
      </c>
      <c r="C3334" s="2"/>
      <c r="D3334" s="2" t="s">
        <v>16</v>
      </c>
      <c r="E3334" s="4">
        <f>53.65*(1-Z1%)</f>
        <v>53.65</v>
      </c>
      <c r="F3334" s="2">
        <v>3</v>
      </c>
      <c r="G3334" s="2"/>
    </row>
    <row r="3335" spans="1:26" customHeight="1" ht="36" hidden="true" outlineLevel="4">
      <c r="A3335" s="2" t="s">
        <v>6257</v>
      </c>
      <c r="B3335" s="3" t="s">
        <v>6258</v>
      </c>
      <c r="C3335" s="2"/>
      <c r="D3335" s="2" t="s">
        <v>16</v>
      </c>
      <c r="E3335" s="4">
        <f>71.28*(1-Z1%)</f>
        <v>71.28</v>
      </c>
      <c r="F3335" s="2">
        <v>8</v>
      </c>
      <c r="G3335" s="2"/>
    </row>
    <row r="3336" spans="1:26" customHeight="1" ht="18" hidden="true" outlineLevel="4">
      <c r="A3336" s="2" t="s">
        <v>6259</v>
      </c>
      <c r="B3336" s="3" t="s">
        <v>6260</v>
      </c>
      <c r="C3336" s="2"/>
      <c r="D3336" s="2" t="s">
        <v>16</v>
      </c>
      <c r="E3336" s="4">
        <f>57.92*(1-Z1%)</f>
        <v>57.92</v>
      </c>
      <c r="F3336" s="2">
        <v>3</v>
      </c>
      <c r="G3336" s="2"/>
    </row>
    <row r="3337" spans="1:26" customHeight="1" ht="18" hidden="true" outlineLevel="4">
      <c r="A3337" s="2" t="s">
        <v>6261</v>
      </c>
      <c r="B3337" s="3" t="s">
        <v>6262</v>
      </c>
      <c r="C3337" s="2"/>
      <c r="D3337" s="2" t="s">
        <v>16</v>
      </c>
      <c r="E3337" s="4">
        <f>70.17*(1-Z1%)</f>
        <v>70.17</v>
      </c>
      <c r="F3337" s="2">
        <v>6</v>
      </c>
      <c r="G3337" s="2"/>
    </row>
    <row r="3338" spans="1:26" customHeight="1" ht="36" hidden="true" outlineLevel="4">
      <c r="A3338" s="2" t="s">
        <v>6263</v>
      </c>
      <c r="B3338" s="3" t="s">
        <v>6264</v>
      </c>
      <c r="C3338" s="2"/>
      <c r="D3338" s="2" t="s">
        <v>16</v>
      </c>
      <c r="E3338" s="4">
        <f>89.10*(1-Z1%)</f>
        <v>89.1</v>
      </c>
      <c r="F3338" s="2">
        <v>4</v>
      </c>
      <c r="G3338" s="2"/>
    </row>
    <row r="3339" spans="1:26" customHeight="1" ht="35" hidden="true" outlineLevel="3">
      <c r="A3339" s="5" t="s">
        <v>6265</v>
      </c>
      <c r="B3339" s="5"/>
      <c r="C3339" s="5"/>
      <c r="D3339" s="5"/>
      <c r="E3339" s="5"/>
      <c r="F3339" s="5"/>
      <c r="G3339" s="5"/>
    </row>
    <row r="3340" spans="1:26" customHeight="1" ht="36" hidden="true" outlineLevel="3">
      <c r="A3340" s="2" t="s">
        <v>6266</v>
      </c>
      <c r="B3340" s="3" t="s">
        <v>6267</v>
      </c>
      <c r="C3340" s="2"/>
      <c r="D3340" s="2" t="s">
        <v>16</v>
      </c>
      <c r="E3340" s="4">
        <f>77.97*(1-Z1%)</f>
        <v>77.97</v>
      </c>
      <c r="F3340" s="2">
        <v>9</v>
      </c>
      <c r="G3340" s="2"/>
    </row>
    <row r="3341" spans="1:26" customHeight="1" ht="36" hidden="true" outlineLevel="3">
      <c r="A3341" s="2" t="s">
        <v>6268</v>
      </c>
      <c r="B3341" s="3" t="s">
        <v>6269</v>
      </c>
      <c r="C3341" s="2"/>
      <c r="D3341" s="2" t="s">
        <v>16</v>
      </c>
      <c r="E3341" s="4">
        <f>61.14*(1-Z1%)</f>
        <v>61.14</v>
      </c>
      <c r="F3341" s="2">
        <v>19</v>
      </c>
      <c r="G3341" s="2"/>
    </row>
    <row r="3342" spans="1:26" customHeight="1" ht="36" hidden="true" outlineLevel="3">
      <c r="A3342" s="2" t="s">
        <v>6270</v>
      </c>
      <c r="B3342" s="3" t="s">
        <v>6271</v>
      </c>
      <c r="C3342" s="2"/>
      <c r="D3342" s="2" t="s">
        <v>16</v>
      </c>
      <c r="E3342" s="4">
        <f>54.08*(1-Z1%)</f>
        <v>54.08</v>
      </c>
      <c r="F3342" s="2">
        <v>8</v>
      </c>
      <c r="G3342" s="2"/>
    </row>
    <row r="3343" spans="1:26" customHeight="1" ht="36" hidden="true" outlineLevel="3">
      <c r="A3343" s="2" t="s">
        <v>6272</v>
      </c>
      <c r="B3343" s="3" t="s">
        <v>6273</v>
      </c>
      <c r="C3343" s="2"/>
      <c r="D3343" s="2" t="s">
        <v>16</v>
      </c>
      <c r="E3343" s="4">
        <f>54.08*(1-Z1%)</f>
        <v>54.08</v>
      </c>
      <c r="F3343" s="2">
        <v>10</v>
      </c>
      <c r="G3343" s="2"/>
    </row>
    <row r="3344" spans="1:26" customHeight="1" ht="35" hidden="true" outlineLevel="3">
      <c r="A3344" s="5" t="s">
        <v>6274</v>
      </c>
      <c r="B3344" s="5"/>
      <c r="C3344" s="5"/>
      <c r="D3344" s="5"/>
      <c r="E3344" s="5"/>
      <c r="F3344" s="5"/>
      <c r="G3344" s="5"/>
    </row>
    <row r="3345" spans="1:26" customHeight="1" ht="36" hidden="true" outlineLevel="3">
      <c r="A3345" s="2" t="s">
        <v>6275</v>
      </c>
      <c r="B3345" s="3" t="s">
        <v>6276</v>
      </c>
      <c r="C3345" s="2"/>
      <c r="D3345" s="2" t="s">
        <v>16</v>
      </c>
      <c r="E3345" s="4">
        <f>387.75*(1-Z1%)</f>
        <v>387.75</v>
      </c>
      <c r="F3345" s="2">
        <v>5</v>
      </c>
      <c r="G3345" s="2"/>
    </row>
    <row r="3346" spans="1:26" customHeight="1" ht="35" hidden="true" outlineLevel="3">
      <c r="A3346" s="5" t="s">
        <v>6277</v>
      </c>
      <c r="B3346" s="5"/>
      <c r="C3346" s="5"/>
      <c r="D3346" s="5"/>
      <c r="E3346" s="5"/>
      <c r="F3346" s="5"/>
      <c r="G3346" s="5"/>
    </row>
    <row r="3347" spans="1:26" customHeight="1" ht="36" hidden="true" outlineLevel="3">
      <c r="A3347" s="2" t="s">
        <v>6278</v>
      </c>
      <c r="B3347" s="3" t="s">
        <v>6279</v>
      </c>
      <c r="C3347" s="2"/>
      <c r="D3347" s="2" t="s">
        <v>16</v>
      </c>
      <c r="E3347" s="4">
        <f>97.38*(1-Z1%)</f>
        <v>97.38</v>
      </c>
      <c r="F3347" s="2">
        <v>26</v>
      </c>
      <c r="G3347" s="2"/>
    </row>
    <row r="3348" spans="1:26" customHeight="1" ht="36" hidden="true" outlineLevel="3">
      <c r="A3348" s="2" t="s">
        <v>6280</v>
      </c>
      <c r="B3348" s="3" t="s">
        <v>6281</v>
      </c>
      <c r="C3348" s="2"/>
      <c r="D3348" s="2" t="s">
        <v>16</v>
      </c>
      <c r="E3348" s="4">
        <f>126.59*(1-Z1%)</f>
        <v>126.59</v>
      </c>
      <c r="F3348" s="2">
        <v>1</v>
      </c>
      <c r="G3348" s="2"/>
    </row>
    <row r="3349" spans="1:26" customHeight="1" ht="36" hidden="true" outlineLevel="3">
      <c r="A3349" s="2" t="s">
        <v>6282</v>
      </c>
      <c r="B3349" s="3" t="s">
        <v>6283</v>
      </c>
      <c r="C3349" s="2"/>
      <c r="D3349" s="2" t="s">
        <v>16</v>
      </c>
      <c r="E3349" s="4">
        <f>405.41*(1-Z1%)</f>
        <v>405.41</v>
      </c>
      <c r="F3349" s="2">
        <v>2</v>
      </c>
      <c r="G3349" s="2"/>
    </row>
    <row r="3350" spans="1:26" customHeight="1" ht="36" hidden="true" outlineLevel="3">
      <c r="A3350" s="2" t="s">
        <v>6284</v>
      </c>
      <c r="B3350" s="3" t="s">
        <v>6285</v>
      </c>
      <c r="C3350" s="2"/>
      <c r="D3350" s="2" t="s">
        <v>16</v>
      </c>
      <c r="E3350" s="4">
        <f>883.73*(1-Z1%)</f>
        <v>883.73</v>
      </c>
      <c r="F3350" s="2">
        <v>1</v>
      </c>
      <c r="G3350" s="2"/>
    </row>
    <row r="3351" spans="1:26" customHeight="1" ht="18" hidden="true" outlineLevel="3">
      <c r="A3351" s="2" t="s">
        <v>6286</v>
      </c>
      <c r="B3351" s="3" t="s">
        <v>6287</v>
      </c>
      <c r="C3351" s="2"/>
      <c r="D3351" s="2" t="s">
        <v>16</v>
      </c>
      <c r="E3351" s="4">
        <f>124.92*(1-Z1%)</f>
        <v>124.92</v>
      </c>
      <c r="F3351" s="2">
        <v>18</v>
      </c>
      <c r="G3351" s="2"/>
    </row>
    <row r="3352" spans="1:26" customHeight="1" ht="18" hidden="true" outlineLevel="3">
      <c r="A3352" s="2" t="s">
        <v>6288</v>
      </c>
      <c r="B3352" s="3" t="s">
        <v>6289</v>
      </c>
      <c r="C3352" s="2"/>
      <c r="D3352" s="2" t="s">
        <v>16</v>
      </c>
      <c r="E3352" s="4">
        <f>239.68*(1-Z1%)</f>
        <v>239.68</v>
      </c>
      <c r="F3352" s="2">
        <v>4</v>
      </c>
      <c r="G3352" s="2"/>
    </row>
    <row r="3353" spans="1:26" customHeight="1" ht="18" hidden="true" outlineLevel="3">
      <c r="A3353" s="2" t="s">
        <v>6290</v>
      </c>
      <c r="B3353" s="3" t="s">
        <v>6291</v>
      </c>
      <c r="C3353" s="2"/>
      <c r="D3353" s="2" t="s">
        <v>16</v>
      </c>
      <c r="E3353" s="4">
        <f>35.58*(1-Z1%)</f>
        <v>35.58</v>
      </c>
      <c r="F3353" s="2">
        <v>4</v>
      </c>
      <c r="G3353" s="2"/>
    </row>
    <row r="3354" spans="1:26" customHeight="1" ht="18" hidden="true" outlineLevel="3">
      <c r="A3354" s="2" t="s">
        <v>6292</v>
      </c>
      <c r="B3354" s="3" t="s">
        <v>6293</v>
      </c>
      <c r="C3354" s="2"/>
      <c r="D3354" s="2" t="s">
        <v>16</v>
      </c>
      <c r="E3354" s="4">
        <f>53.97*(1-Z1%)</f>
        <v>53.97</v>
      </c>
      <c r="F3354" s="2">
        <v>4</v>
      </c>
      <c r="G3354" s="2"/>
    </row>
    <row r="3355" spans="1:26" customHeight="1" ht="18" hidden="true" outlineLevel="3">
      <c r="A3355" s="2" t="s">
        <v>6294</v>
      </c>
      <c r="B3355" s="3" t="s">
        <v>6295</v>
      </c>
      <c r="C3355" s="2"/>
      <c r="D3355" s="2" t="s">
        <v>16</v>
      </c>
      <c r="E3355" s="4">
        <f>28.22*(1-Z1%)</f>
        <v>28.22</v>
      </c>
      <c r="F3355" s="2">
        <v>4</v>
      </c>
      <c r="G3355" s="2"/>
    </row>
    <row r="3356" spans="1:26" customHeight="1" ht="36" hidden="true" outlineLevel="3">
      <c r="A3356" s="2" t="s">
        <v>6296</v>
      </c>
      <c r="B3356" s="3" t="s">
        <v>6297</v>
      </c>
      <c r="C3356" s="2"/>
      <c r="D3356" s="2" t="s">
        <v>16</v>
      </c>
      <c r="E3356" s="4">
        <f>219.84*(1-Z1%)</f>
        <v>219.84</v>
      </c>
      <c r="F3356" s="2">
        <v>2</v>
      </c>
      <c r="G3356" s="2"/>
    </row>
    <row r="3357" spans="1:26" customHeight="1" ht="36" hidden="true" outlineLevel="3">
      <c r="A3357" s="2" t="s">
        <v>6298</v>
      </c>
      <c r="B3357" s="3" t="s">
        <v>6299</v>
      </c>
      <c r="C3357" s="2"/>
      <c r="D3357" s="2" t="s">
        <v>16</v>
      </c>
      <c r="E3357" s="4">
        <f>404.42*(1-Z1%)</f>
        <v>404.42</v>
      </c>
      <c r="F3357" s="2">
        <v>2</v>
      </c>
      <c r="G3357" s="2"/>
    </row>
    <row r="3358" spans="1:26" customHeight="1" ht="18" hidden="true" outlineLevel="3">
      <c r="A3358" s="2" t="s">
        <v>6300</v>
      </c>
      <c r="B3358" s="3" t="s">
        <v>6301</v>
      </c>
      <c r="C3358" s="2"/>
      <c r="D3358" s="2" t="s">
        <v>16</v>
      </c>
      <c r="E3358" s="4">
        <f>35.27*(1-Z1%)</f>
        <v>35.27</v>
      </c>
      <c r="F3358" s="2">
        <v>2</v>
      </c>
      <c r="G3358" s="2"/>
    </row>
    <row r="3359" spans="1:26" customHeight="1" ht="18" hidden="true" outlineLevel="3">
      <c r="A3359" s="2" t="s">
        <v>6302</v>
      </c>
      <c r="B3359" s="3" t="s">
        <v>6303</v>
      </c>
      <c r="C3359" s="2"/>
      <c r="D3359" s="2" t="s">
        <v>16</v>
      </c>
      <c r="E3359" s="4">
        <f>35.27*(1-Z1%)</f>
        <v>35.27</v>
      </c>
      <c r="F3359" s="2">
        <v>3</v>
      </c>
      <c r="G3359" s="2"/>
    </row>
    <row r="3360" spans="1:26" customHeight="1" ht="18" hidden="true" outlineLevel="3">
      <c r="A3360" s="2" t="s">
        <v>6304</v>
      </c>
      <c r="B3360" s="3" t="s">
        <v>6305</v>
      </c>
      <c r="C3360" s="2"/>
      <c r="D3360" s="2" t="s">
        <v>16</v>
      </c>
      <c r="E3360" s="4">
        <f>41.15*(1-Z1%)</f>
        <v>41.15</v>
      </c>
      <c r="F3360" s="2">
        <v>2</v>
      </c>
      <c r="G3360" s="2"/>
    </row>
    <row r="3361" spans="1:26" customHeight="1" ht="18" hidden="true" outlineLevel="3">
      <c r="A3361" s="2" t="s">
        <v>6306</v>
      </c>
      <c r="B3361" s="3" t="s">
        <v>6307</v>
      </c>
      <c r="C3361" s="2"/>
      <c r="D3361" s="2" t="s">
        <v>16</v>
      </c>
      <c r="E3361" s="4">
        <f>45.67*(1-Z1%)</f>
        <v>45.67</v>
      </c>
      <c r="F3361" s="2">
        <v>3</v>
      </c>
      <c r="G3361" s="2"/>
    </row>
    <row r="3362" spans="1:26" customHeight="1" ht="35" hidden="true" outlineLevel="3">
      <c r="A3362" s="5" t="s">
        <v>6308</v>
      </c>
      <c r="B3362" s="5"/>
      <c r="C3362" s="5"/>
      <c r="D3362" s="5"/>
      <c r="E3362" s="5"/>
      <c r="F3362" s="5"/>
      <c r="G3362" s="5"/>
    </row>
    <row r="3363" spans="1:26" customHeight="1" ht="18" hidden="true" outlineLevel="3">
      <c r="A3363" s="2" t="s">
        <v>6309</v>
      </c>
      <c r="B3363" s="3" t="s">
        <v>6310</v>
      </c>
      <c r="C3363" s="2"/>
      <c r="D3363" s="2" t="s">
        <v>16</v>
      </c>
      <c r="E3363" s="4">
        <f>16.74*(1-Z1%)</f>
        <v>16.74</v>
      </c>
      <c r="F3363" s="2">
        <v>10</v>
      </c>
      <c r="G3363" s="2"/>
    </row>
    <row r="3364" spans="1:26" customHeight="1" ht="18" hidden="true" outlineLevel="3">
      <c r="A3364" s="2" t="s">
        <v>6311</v>
      </c>
      <c r="B3364" s="3" t="s">
        <v>6312</v>
      </c>
      <c r="C3364" s="2"/>
      <c r="D3364" s="2" t="s">
        <v>16</v>
      </c>
      <c r="E3364" s="4">
        <f>29.39*(1-Z1%)</f>
        <v>29.39</v>
      </c>
      <c r="F3364" s="2">
        <v>5</v>
      </c>
      <c r="G3364" s="2"/>
    </row>
    <row r="3365" spans="1:26" customHeight="1" ht="18" hidden="true" outlineLevel="3">
      <c r="A3365" s="2" t="s">
        <v>6313</v>
      </c>
      <c r="B3365" s="3" t="s">
        <v>6314</v>
      </c>
      <c r="C3365" s="2"/>
      <c r="D3365" s="2" t="s">
        <v>16</v>
      </c>
      <c r="E3365" s="4">
        <f>34.65*(1-Z1%)</f>
        <v>34.65</v>
      </c>
      <c r="F3365" s="2">
        <v>5</v>
      </c>
      <c r="G3365" s="2"/>
    </row>
    <row r="3366" spans="1:26" customHeight="1" ht="18" hidden="true" outlineLevel="3">
      <c r="A3366" s="2" t="s">
        <v>6315</v>
      </c>
      <c r="B3366" s="3" t="s">
        <v>6316</v>
      </c>
      <c r="C3366" s="2"/>
      <c r="D3366" s="2" t="s">
        <v>16</v>
      </c>
      <c r="E3366" s="4">
        <f>31.27*(1-Z1%)</f>
        <v>31.27</v>
      </c>
      <c r="F3366" s="2">
        <v>6</v>
      </c>
      <c r="G3366" s="2"/>
    </row>
    <row r="3367" spans="1:26" customHeight="1" ht="18" hidden="true" outlineLevel="3">
      <c r="A3367" s="2" t="s">
        <v>6317</v>
      </c>
      <c r="B3367" s="3" t="s">
        <v>6318</v>
      </c>
      <c r="C3367" s="2"/>
      <c r="D3367" s="2" t="s">
        <v>16</v>
      </c>
      <c r="E3367" s="4">
        <f>124.14*(1-Z1%)</f>
        <v>124.14</v>
      </c>
      <c r="F3367" s="2">
        <v>2</v>
      </c>
      <c r="G3367" s="2"/>
    </row>
    <row r="3368" spans="1:26" customHeight="1" ht="18" hidden="true" outlineLevel="3">
      <c r="A3368" s="2" t="s">
        <v>6319</v>
      </c>
      <c r="B3368" s="3" t="s">
        <v>6320</v>
      </c>
      <c r="C3368" s="2"/>
      <c r="D3368" s="2" t="s">
        <v>16</v>
      </c>
      <c r="E3368" s="4">
        <f>131.67*(1-Z1%)</f>
        <v>131.67</v>
      </c>
      <c r="F3368" s="2">
        <v>2</v>
      </c>
      <c r="G3368" s="2"/>
    </row>
    <row r="3369" spans="1:26" customHeight="1" ht="18" hidden="true" outlineLevel="3">
      <c r="A3369" s="2" t="s">
        <v>6321</v>
      </c>
      <c r="B3369" s="3" t="s">
        <v>6322</v>
      </c>
      <c r="C3369" s="2"/>
      <c r="D3369" s="2" t="s">
        <v>16</v>
      </c>
      <c r="E3369" s="4">
        <f>197.88*(1-Z1%)</f>
        <v>197.88</v>
      </c>
      <c r="F3369" s="2">
        <v>2</v>
      </c>
      <c r="G3369" s="2"/>
    </row>
    <row r="3370" spans="1:26" customHeight="1" ht="18" hidden="true" outlineLevel="3">
      <c r="A3370" s="2" t="s">
        <v>6323</v>
      </c>
      <c r="B3370" s="3" t="s">
        <v>6324</v>
      </c>
      <c r="C3370" s="2"/>
      <c r="D3370" s="2" t="s">
        <v>16</v>
      </c>
      <c r="E3370" s="4">
        <f>179.87*(1-Z1%)</f>
        <v>179.87</v>
      </c>
      <c r="F3370" s="2">
        <v>1</v>
      </c>
      <c r="G3370" s="2"/>
    </row>
    <row r="3371" spans="1:26" customHeight="1" ht="18" hidden="true" outlineLevel="3">
      <c r="A3371" s="2" t="s">
        <v>6325</v>
      </c>
      <c r="B3371" s="3" t="s">
        <v>6326</v>
      </c>
      <c r="C3371" s="2"/>
      <c r="D3371" s="2" t="s">
        <v>16</v>
      </c>
      <c r="E3371" s="4">
        <f>193.98*(1-Z1%)</f>
        <v>193.98</v>
      </c>
      <c r="F3371" s="2">
        <v>1</v>
      </c>
      <c r="G3371" s="2"/>
    </row>
    <row r="3372" spans="1:26" customHeight="1" ht="18" hidden="true" outlineLevel="3">
      <c r="A3372" s="2" t="s">
        <v>6327</v>
      </c>
      <c r="B3372" s="3" t="s">
        <v>6328</v>
      </c>
      <c r="C3372" s="2"/>
      <c r="D3372" s="2" t="s">
        <v>16</v>
      </c>
      <c r="E3372" s="4">
        <f>265.70*(1-Z1%)</f>
        <v>265.7</v>
      </c>
      <c r="F3372" s="2">
        <v>2</v>
      </c>
      <c r="G3372" s="2"/>
    </row>
    <row r="3373" spans="1:26" customHeight="1" ht="18" hidden="true" outlineLevel="3">
      <c r="A3373" s="2" t="s">
        <v>6329</v>
      </c>
      <c r="B3373" s="3" t="s">
        <v>6330</v>
      </c>
      <c r="C3373" s="2"/>
      <c r="D3373" s="2" t="s">
        <v>16</v>
      </c>
      <c r="E3373" s="4">
        <f>28.94*(1-Z1%)</f>
        <v>28.94</v>
      </c>
      <c r="F3373" s="2">
        <v>41</v>
      </c>
      <c r="G3373" s="2"/>
    </row>
    <row r="3374" spans="1:26" customHeight="1" ht="18" hidden="true" outlineLevel="3">
      <c r="A3374" s="2" t="s">
        <v>6331</v>
      </c>
      <c r="B3374" s="3" t="s">
        <v>6332</v>
      </c>
      <c r="C3374" s="2"/>
      <c r="D3374" s="2" t="s">
        <v>16</v>
      </c>
      <c r="E3374" s="4">
        <f>68.19*(1-Z1%)</f>
        <v>68.19</v>
      </c>
      <c r="F3374" s="2">
        <v>1</v>
      </c>
      <c r="G3374" s="2"/>
    </row>
    <row r="3375" spans="1:26" customHeight="1" ht="18" hidden="true" outlineLevel="3">
      <c r="A3375" s="2" t="s">
        <v>6333</v>
      </c>
      <c r="B3375" s="3" t="s">
        <v>6334</v>
      </c>
      <c r="C3375" s="2"/>
      <c r="D3375" s="2" t="s">
        <v>16</v>
      </c>
      <c r="E3375" s="4">
        <f>48.08*(1-Z1%)</f>
        <v>48.08</v>
      </c>
      <c r="F3375" s="2">
        <v>6</v>
      </c>
      <c r="G3375" s="2"/>
    </row>
    <row r="3376" spans="1:26" customHeight="1" ht="18" hidden="true" outlineLevel="3">
      <c r="A3376" s="2" t="s">
        <v>6335</v>
      </c>
      <c r="B3376" s="3" t="s">
        <v>6336</v>
      </c>
      <c r="C3376" s="2"/>
      <c r="D3376" s="2" t="s">
        <v>16</v>
      </c>
      <c r="E3376" s="4">
        <f>94.05*(1-Z1%)</f>
        <v>94.05</v>
      </c>
      <c r="F3376" s="2">
        <v>3</v>
      </c>
      <c r="G3376" s="2"/>
    </row>
    <row r="3377" spans="1:26" customHeight="1" ht="18" hidden="true" outlineLevel="3">
      <c r="A3377" s="2" t="s">
        <v>6337</v>
      </c>
      <c r="B3377" s="3" t="s">
        <v>6338</v>
      </c>
      <c r="C3377" s="2"/>
      <c r="D3377" s="2" t="s">
        <v>16</v>
      </c>
      <c r="E3377" s="4">
        <f>71.53*(1-Z1%)</f>
        <v>71.53</v>
      </c>
      <c r="F3377" s="2">
        <v>8</v>
      </c>
      <c r="G3377" s="2"/>
    </row>
    <row r="3378" spans="1:26" customHeight="1" ht="18" hidden="true" outlineLevel="3">
      <c r="A3378" s="2" t="s">
        <v>6339</v>
      </c>
      <c r="B3378" s="3" t="s">
        <v>6340</v>
      </c>
      <c r="C3378" s="2"/>
      <c r="D3378" s="2" t="s">
        <v>16</v>
      </c>
      <c r="E3378" s="4">
        <f>104.63*(1-Z1%)</f>
        <v>104.63</v>
      </c>
      <c r="F3378" s="2">
        <v>2</v>
      </c>
      <c r="G3378" s="2"/>
    </row>
    <row r="3379" spans="1:26" customHeight="1" ht="35" hidden="true" outlineLevel="3">
      <c r="A3379" s="5" t="s">
        <v>6341</v>
      </c>
      <c r="B3379" s="5"/>
      <c r="C3379" s="5"/>
      <c r="D3379" s="5"/>
      <c r="E3379" s="5"/>
      <c r="F3379" s="5"/>
      <c r="G3379" s="5"/>
    </row>
    <row r="3380" spans="1:26" customHeight="1" ht="36" hidden="true" outlineLevel="3">
      <c r="A3380" s="2" t="s">
        <v>6342</v>
      </c>
      <c r="B3380" s="3" t="s">
        <v>6343</v>
      </c>
      <c r="C3380" s="2"/>
      <c r="D3380" s="2" t="s">
        <v>16</v>
      </c>
      <c r="E3380" s="4">
        <f>462.81*(1-Z1%)</f>
        <v>462.81</v>
      </c>
      <c r="F3380" s="2">
        <v>1</v>
      </c>
      <c r="G3380" s="2"/>
    </row>
    <row r="3381" spans="1:26" customHeight="1" ht="36" hidden="true" outlineLevel="3">
      <c r="A3381" s="2" t="s">
        <v>6344</v>
      </c>
      <c r="B3381" s="3" t="s">
        <v>6345</v>
      </c>
      <c r="C3381" s="2"/>
      <c r="D3381" s="2" t="s">
        <v>16</v>
      </c>
      <c r="E3381" s="4">
        <f>233.95*(1-Z1%)</f>
        <v>233.95</v>
      </c>
      <c r="F3381" s="2">
        <v>5</v>
      </c>
      <c r="G3381" s="2"/>
    </row>
    <row r="3382" spans="1:26" customHeight="1" ht="36" hidden="true" outlineLevel="3">
      <c r="A3382" s="2" t="s">
        <v>6346</v>
      </c>
      <c r="B3382" s="3" t="s">
        <v>6347</v>
      </c>
      <c r="C3382" s="2"/>
      <c r="D3382" s="2" t="s">
        <v>16</v>
      </c>
      <c r="E3382" s="4">
        <f>349.06*(1-Z1%)</f>
        <v>349.06</v>
      </c>
      <c r="F3382" s="2">
        <v>2</v>
      </c>
      <c r="G3382" s="2"/>
    </row>
    <row r="3383" spans="1:26" customHeight="1" ht="18" hidden="true" outlineLevel="3">
      <c r="A3383" s="2" t="s">
        <v>6348</v>
      </c>
      <c r="B3383" s="3" t="s">
        <v>6349</v>
      </c>
      <c r="C3383" s="2"/>
      <c r="D3383" s="2" t="s">
        <v>16</v>
      </c>
      <c r="E3383" s="4">
        <f>20.90*(1-Z1%)</f>
        <v>20.9</v>
      </c>
      <c r="F3383" s="2">
        <v>2</v>
      </c>
      <c r="G3383" s="2"/>
    </row>
    <row r="3384" spans="1:26" customHeight="1" ht="18" hidden="true" outlineLevel="3">
      <c r="A3384" s="2" t="s">
        <v>6350</v>
      </c>
      <c r="B3384" s="3" t="s">
        <v>6351</v>
      </c>
      <c r="C3384" s="2"/>
      <c r="D3384" s="2" t="s">
        <v>16</v>
      </c>
      <c r="E3384" s="4">
        <f>96.41*(1-Z1%)</f>
        <v>96.41</v>
      </c>
      <c r="F3384" s="2">
        <v>10</v>
      </c>
      <c r="G3384" s="2"/>
    </row>
    <row r="3385" spans="1:26" customHeight="1" ht="18" hidden="true" outlineLevel="3">
      <c r="A3385" s="2" t="s">
        <v>6352</v>
      </c>
      <c r="B3385" s="3" t="s">
        <v>6353</v>
      </c>
      <c r="C3385" s="2"/>
      <c r="D3385" s="2" t="s">
        <v>16</v>
      </c>
      <c r="E3385" s="4">
        <f>130.28*(1-Z1%)</f>
        <v>130.28</v>
      </c>
      <c r="F3385" s="2">
        <v>6</v>
      </c>
      <c r="G3385" s="2"/>
    </row>
    <row r="3386" spans="1:26" customHeight="1" ht="18" hidden="true" outlineLevel="3">
      <c r="A3386" s="2" t="s">
        <v>6354</v>
      </c>
      <c r="B3386" s="3" t="s">
        <v>6355</v>
      </c>
      <c r="C3386" s="2"/>
      <c r="D3386" s="2" t="s">
        <v>16</v>
      </c>
      <c r="E3386" s="4">
        <f>52.90*(1-Z1%)</f>
        <v>52.9</v>
      </c>
      <c r="F3386" s="2">
        <v>5</v>
      </c>
      <c r="G3386" s="2"/>
    </row>
    <row r="3387" spans="1:26" customHeight="1" ht="18" hidden="true" outlineLevel="3">
      <c r="A3387" s="2" t="s">
        <v>6356</v>
      </c>
      <c r="B3387" s="3" t="s">
        <v>6357</v>
      </c>
      <c r="C3387" s="2"/>
      <c r="D3387" s="2" t="s">
        <v>16</v>
      </c>
      <c r="E3387" s="4">
        <f>49.07*(1-Z1%)</f>
        <v>49.07</v>
      </c>
      <c r="F3387" s="2">
        <v>2</v>
      </c>
      <c r="G3387" s="2"/>
    </row>
    <row r="3388" spans="1:26" customHeight="1" ht="18" hidden="true" outlineLevel="3">
      <c r="A3388" s="2" t="s">
        <v>6358</v>
      </c>
      <c r="B3388" s="3" t="s">
        <v>6359</v>
      </c>
      <c r="C3388" s="2"/>
      <c r="D3388" s="2" t="s">
        <v>16</v>
      </c>
      <c r="E3388" s="4">
        <f>56.54*(1-Z1%)</f>
        <v>56.54</v>
      </c>
      <c r="F3388" s="2">
        <v>1</v>
      </c>
      <c r="G3388" s="2"/>
    </row>
    <row r="3389" spans="1:26" customHeight="1" ht="18" hidden="true" outlineLevel="3">
      <c r="A3389" s="2" t="s">
        <v>6360</v>
      </c>
      <c r="B3389" s="3" t="s">
        <v>6361</v>
      </c>
      <c r="C3389" s="2"/>
      <c r="D3389" s="2" t="s">
        <v>16</v>
      </c>
      <c r="E3389" s="4">
        <f>78.77*(1-Z1%)</f>
        <v>78.77</v>
      </c>
      <c r="F3389" s="2">
        <v>4</v>
      </c>
      <c r="G3389" s="2"/>
    </row>
    <row r="3390" spans="1:26" customHeight="1" ht="18" hidden="true" outlineLevel="3">
      <c r="A3390" s="2" t="s">
        <v>6362</v>
      </c>
      <c r="B3390" s="3" t="s">
        <v>6363</v>
      </c>
      <c r="C3390" s="2"/>
      <c r="D3390" s="2" t="s">
        <v>16</v>
      </c>
      <c r="E3390" s="4">
        <f>105.49*(1-Z1%)</f>
        <v>105.49</v>
      </c>
      <c r="F3390" s="2">
        <v>4</v>
      </c>
      <c r="G3390" s="2"/>
    </row>
    <row r="3391" spans="1:26" customHeight="1" ht="35" hidden="true" outlineLevel="3">
      <c r="A3391" s="5" t="s">
        <v>6364</v>
      </c>
      <c r="B3391" s="5"/>
      <c r="C3391" s="5"/>
      <c r="D3391" s="5"/>
      <c r="E3391" s="5"/>
      <c r="F3391" s="5"/>
      <c r="G3391" s="5"/>
    </row>
    <row r="3392" spans="1:26" customHeight="1" ht="36" hidden="true" outlineLevel="3">
      <c r="A3392" s="2" t="s">
        <v>6365</v>
      </c>
      <c r="B3392" s="3" t="s">
        <v>6366</v>
      </c>
      <c r="C3392" s="2"/>
      <c r="D3392" s="2" t="s">
        <v>16</v>
      </c>
      <c r="E3392" s="4">
        <f>624.82*(1-Z1%)</f>
        <v>624.82</v>
      </c>
      <c r="F3392" s="2">
        <v>6</v>
      </c>
      <c r="G3392" s="2"/>
    </row>
    <row r="3393" spans="1:26" customHeight="1" ht="36" hidden="true" outlineLevel="3">
      <c r="A3393" s="2" t="s">
        <v>6367</v>
      </c>
      <c r="B3393" s="3" t="s">
        <v>6368</v>
      </c>
      <c r="C3393" s="2"/>
      <c r="D3393" s="2" t="s">
        <v>16</v>
      </c>
      <c r="E3393" s="4">
        <f>547.85*(1-Z1%)</f>
        <v>547.85</v>
      </c>
      <c r="F3393" s="2">
        <v>3</v>
      </c>
      <c r="G3393" s="2"/>
    </row>
    <row r="3394" spans="1:26" customHeight="1" ht="18" hidden="true" outlineLevel="3">
      <c r="A3394" s="2" t="s">
        <v>6369</v>
      </c>
      <c r="B3394" s="3" t="s">
        <v>6370</v>
      </c>
      <c r="C3394" s="2"/>
      <c r="D3394" s="2" t="s">
        <v>16</v>
      </c>
      <c r="E3394" s="4">
        <f>587.82*(1-Z1%)</f>
        <v>587.82</v>
      </c>
      <c r="F3394" s="2">
        <v>4</v>
      </c>
      <c r="G3394" s="2"/>
    </row>
    <row r="3395" spans="1:26" customHeight="1" ht="18" hidden="true" outlineLevel="3">
      <c r="A3395" s="2" t="s">
        <v>6371</v>
      </c>
      <c r="B3395" s="3" t="s">
        <v>6372</v>
      </c>
      <c r="C3395" s="2"/>
      <c r="D3395" s="2" t="s">
        <v>16</v>
      </c>
      <c r="E3395" s="4">
        <f>895.83*(1-Z1%)</f>
        <v>895.83</v>
      </c>
      <c r="F3395" s="2">
        <v>1</v>
      </c>
      <c r="G3395" s="2"/>
    </row>
    <row r="3396" spans="1:26" customHeight="1" ht="36" hidden="true" outlineLevel="3">
      <c r="A3396" s="2" t="s">
        <v>6373</v>
      </c>
      <c r="B3396" s="3" t="s">
        <v>6374</v>
      </c>
      <c r="C3396" s="2"/>
      <c r="D3396" s="2" t="s">
        <v>16</v>
      </c>
      <c r="E3396" s="4">
        <f>396.00*(1-Z1%)</f>
        <v>396</v>
      </c>
      <c r="F3396" s="2">
        <v>5</v>
      </c>
      <c r="G3396" s="2"/>
    </row>
    <row r="3397" spans="1:26" customHeight="1" ht="54" hidden="true" outlineLevel="3">
      <c r="A3397" s="2" t="s">
        <v>6375</v>
      </c>
      <c r="B3397" s="3" t="s">
        <v>6376</v>
      </c>
      <c r="C3397" s="2"/>
      <c r="D3397" s="2" t="s">
        <v>16</v>
      </c>
      <c r="E3397" s="4">
        <f>426.94*(1-Z1%)</f>
        <v>426.94</v>
      </c>
      <c r="F3397" s="2">
        <v>9</v>
      </c>
      <c r="G3397" s="2"/>
    </row>
    <row r="3398" spans="1:26" customHeight="1" ht="18" hidden="true" outlineLevel="3">
      <c r="A3398" s="2" t="s">
        <v>6377</v>
      </c>
      <c r="B3398" s="3" t="s">
        <v>6378</v>
      </c>
      <c r="C3398" s="2"/>
      <c r="D3398" s="2" t="s">
        <v>16</v>
      </c>
      <c r="E3398" s="4">
        <f>114.04*(1-Z1%)</f>
        <v>114.04</v>
      </c>
      <c r="F3398" s="2">
        <v>4</v>
      </c>
      <c r="G3398" s="2"/>
    </row>
    <row r="3399" spans="1:26" customHeight="1" ht="18" hidden="true" outlineLevel="3">
      <c r="A3399" s="2" t="s">
        <v>6379</v>
      </c>
      <c r="B3399" s="3" t="s">
        <v>6380</v>
      </c>
      <c r="C3399" s="2"/>
      <c r="D3399" s="2" t="s">
        <v>16</v>
      </c>
      <c r="E3399" s="4">
        <f>127.65*(1-Z1%)</f>
        <v>127.65</v>
      </c>
      <c r="F3399" s="2">
        <v>4</v>
      </c>
      <c r="G3399" s="2"/>
    </row>
    <row r="3400" spans="1:26" customHeight="1" ht="36" hidden="true" outlineLevel="3">
      <c r="A3400" s="2" t="s">
        <v>6381</v>
      </c>
      <c r="B3400" s="3" t="s">
        <v>6382</v>
      </c>
      <c r="C3400" s="2"/>
      <c r="D3400" s="2" t="s">
        <v>16</v>
      </c>
      <c r="E3400" s="4">
        <f>575.44*(1-Z1%)</f>
        <v>575.44</v>
      </c>
      <c r="F3400" s="2">
        <v>7</v>
      </c>
      <c r="G3400" s="2"/>
    </row>
    <row r="3401" spans="1:26" customHeight="1" ht="36" hidden="true" outlineLevel="3">
      <c r="A3401" s="2" t="s">
        <v>6383</v>
      </c>
      <c r="B3401" s="3" t="s">
        <v>6384</v>
      </c>
      <c r="C3401" s="2"/>
      <c r="D3401" s="2" t="s">
        <v>16</v>
      </c>
      <c r="E3401" s="4">
        <f>616.03*(1-Z1%)</f>
        <v>616.03</v>
      </c>
      <c r="F3401" s="2">
        <v>1</v>
      </c>
      <c r="G3401" s="2"/>
    </row>
    <row r="3402" spans="1:26" customHeight="1" ht="36" hidden="true" outlineLevel="3">
      <c r="A3402" s="2" t="s">
        <v>6385</v>
      </c>
      <c r="B3402" s="3" t="s">
        <v>6386</v>
      </c>
      <c r="C3402" s="2"/>
      <c r="D3402" s="2" t="s">
        <v>16</v>
      </c>
      <c r="E3402" s="4">
        <f>92.87*(1-Z1%)</f>
        <v>92.87</v>
      </c>
      <c r="F3402" s="2">
        <v>5</v>
      </c>
      <c r="G3402" s="2"/>
    </row>
    <row r="3403" spans="1:26" customHeight="1" ht="18" hidden="true" outlineLevel="3">
      <c r="A3403" s="2" t="s">
        <v>6387</v>
      </c>
      <c r="B3403" s="3" t="s">
        <v>6388</v>
      </c>
      <c r="C3403" s="2"/>
      <c r="D3403" s="2" t="s">
        <v>16</v>
      </c>
      <c r="E3403" s="4">
        <f>525.50*(1-Z1%)</f>
        <v>525.5</v>
      </c>
      <c r="F3403" s="2">
        <v>1</v>
      </c>
      <c r="G3403" s="2"/>
    </row>
    <row r="3404" spans="1:26" customHeight="1" ht="35" hidden="true" outlineLevel="3">
      <c r="A3404" s="5" t="s">
        <v>6389</v>
      </c>
      <c r="B3404" s="5"/>
      <c r="C3404" s="5"/>
      <c r="D3404" s="5"/>
      <c r="E3404" s="5"/>
      <c r="F3404" s="5"/>
      <c r="G3404" s="5"/>
    </row>
    <row r="3405" spans="1:26" customHeight="1" ht="18" hidden="true" outlineLevel="3">
      <c r="A3405" s="2" t="s">
        <v>6390</v>
      </c>
      <c r="B3405" s="3" t="s">
        <v>6391</v>
      </c>
      <c r="C3405" s="2"/>
      <c r="D3405" s="2" t="s">
        <v>16</v>
      </c>
      <c r="E3405" s="4">
        <f>71.71*(1-Z1%)</f>
        <v>71.71</v>
      </c>
      <c r="F3405" s="2">
        <v>2</v>
      </c>
      <c r="G3405" s="2"/>
    </row>
    <row r="3406" spans="1:26" customHeight="1" ht="18" hidden="true" outlineLevel="3">
      <c r="A3406" s="2" t="s">
        <v>6392</v>
      </c>
      <c r="B3406" s="3" t="s">
        <v>6393</v>
      </c>
      <c r="C3406" s="2"/>
      <c r="D3406" s="2" t="s">
        <v>16</v>
      </c>
      <c r="E3406" s="4">
        <f>105.81*(1-Z1%)</f>
        <v>105.81</v>
      </c>
      <c r="F3406" s="2">
        <v>1</v>
      </c>
      <c r="G3406" s="2"/>
    </row>
    <row r="3407" spans="1:26" customHeight="1" ht="18" hidden="true" outlineLevel="3">
      <c r="A3407" s="2" t="s">
        <v>6394</v>
      </c>
      <c r="B3407" s="3" t="s">
        <v>6395</v>
      </c>
      <c r="C3407" s="2"/>
      <c r="D3407" s="2" t="s">
        <v>16</v>
      </c>
      <c r="E3407" s="4">
        <f>75.24*(1-Z1%)</f>
        <v>75.24</v>
      </c>
      <c r="F3407" s="2">
        <v>1</v>
      </c>
      <c r="G3407" s="2"/>
    </row>
    <row r="3408" spans="1:26" customHeight="1" ht="18" hidden="true" outlineLevel="3">
      <c r="A3408" s="2" t="s">
        <v>6396</v>
      </c>
      <c r="B3408" s="3" t="s">
        <v>6397</v>
      </c>
      <c r="C3408" s="2"/>
      <c r="D3408" s="2" t="s">
        <v>16</v>
      </c>
      <c r="E3408" s="4">
        <f>111.68*(1-Z1%)</f>
        <v>111.68</v>
      </c>
      <c r="F3408" s="2">
        <v>1</v>
      </c>
      <c r="G3408" s="2"/>
    </row>
    <row r="3409" spans="1:26" customHeight="1" ht="18" hidden="true" outlineLevel="3">
      <c r="A3409" s="2" t="s">
        <v>6398</v>
      </c>
      <c r="B3409" s="3" t="s">
        <v>6399</v>
      </c>
      <c r="C3409" s="2"/>
      <c r="D3409" s="2" t="s">
        <v>16</v>
      </c>
      <c r="E3409" s="4">
        <f>78.77*(1-Z1%)</f>
        <v>78.77</v>
      </c>
      <c r="F3409" s="2">
        <v>3</v>
      </c>
      <c r="G3409" s="2"/>
    </row>
    <row r="3410" spans="1:26" customHeight="1" ht="18" hidden="true" outlineLevel="3">
      <c r="A3410" s="2" t="s">
        <v>6400</v>
      </c>
      <c r="B3410" s="3" t="s">
        <v>6401</v>
      </c>
      <c r="C3410" s="2"/>
      <c r="D3410" s="2" t="s">
        <v>16</v>
      </c>
      <c r="E3410" s="4">
        <f>88.17*(1-Z1%)</f>
        <v>88.17</v>
      </c>
      <c r="F3410" s="2">
        <v>3</v>
      </c>
      <c r="G3410" s="2"/>
    </row>
    <row r="3411" spans="1:26" customHeight="1" ht="18" hidden="true" outlineLevel="3">
      <c r="A3411" s="2" t="s">
        <v>6402</v>
      </c>
      <c r="B3411" s="3" t="s">
        <v>6403</v>
      </c>
      <c r="C3411" s="2"/>
      <c r="D3411" s="2" t="s">
        <v>16</v>
      </c>
      <c r="E3411" s="4">
        <f>77.60*(1-Z1%)</f>
        <v>77.6</v>
      </c>
      <c r="F3411" s="2">
        <v>3</v>
      </c>
      <c r="G3411" s="2"/>
    </row>
    <row r="3412" spans="1:26" customHeight="1" ht="18" hidden="true" outlineLevel="3">
      <c r="A3412" s="2" t="s">
        <v>6404</v>
      </c>
      <c r="B3412" s="3" t="s">
        <v>6405</v>
      </c>
      <c r="C3412" s="2"/>
      <c r="D3412" s="2" t="s">
        <v>16</v>
      </c>
      <c r="E3412" s="4">
        <f>78.77*(1-Z1%)</f>
        <v>78.77</v>
      </c>
      <c r="F3412" s="2">
        <v>3</v>
      </c>
      <c r="G3412" s="2"/>
    </row>
    <row r="3413" spans="1:26" customHeight="1" ht="18" hidden="true" outlineLevel="3">
      <c r="A3413" s="2" t="s">
        <v>6406</v>
      </c>
      <c r="B3413" s="3" t="s">
        <v>6407</v>
      </c>
      <c r="C3413" s="2"/>
      <c r="D3413" s="2" t="s">
        <v>16</v>
      </c>
      <c r="E3413" s="4">
        <f>69.36*(1-Z1%)</f>
        <v>69.36</v>
      </c>
      <c r="F3413" s="2">
        <v>3</v>
      </c>
      <c r="G3413" s="2"/>
    </row>
    <row r="3414" spans="1:26" customHeight="1" ht="18" hidden="true" outlineLevel="3">
      <c r="A3414" s="2" t="s">
        <v>6408</v>
      </c>
      <c r="B3414" s="3" t="s">
        <v>6409</v>
      </c>
      <c r="C3414" s="2"/>
      <c r="D3414" s="2" t="s">
        <v>16</v>
      </c>
      <c r="E3414" s="4">
        <f>78.77*(1-Z1%)</f>
        <v>78.77</v>
      </c>
      <c r="F3414" s="2">
        <v>1</v>
      </c>
      <c r="G3414" s="2"/>
    </row>
    <row r="3415" spans="1:26" customHeight="1" ht="18" hidden="true" outlineLevel="3">
      <c r="A3415" s="2" t="s">
        <v>6410</v>
      </c>
      <c r="B3415" s="3" t="s">
        <v>6411</v>
      </c>
      <c r="C3415" s="2"/>
      <c r="D3415" s="2" t="s">
        <v>16</v>
      </c>
      <c r="E3415" s="4">
        <f>101.11*(1-Z1%)</f>
        <v>101.11</v>
      </c>
      <c r="F3415" s="2">
        <v>1</v>
      </c>
      <c r="G3415" s="2"/>
    </row>
    <row r="3416" spans="1:26" customHeight="1" ht="18" hidden="true" outlineLevel="3">
      <c r="A3416" s="2" t="s">
        <v>6412</v>
      </c>
      <c r="B3416" s="3" t="s">
        <v>6413</v>
      </c>
      <c r="C3416" s="2"/>
      <c r="D3416" s="2" t="s">
        <v>16</v>
      </c>
      <c r="E3416" s="4">
        <f>128.14*(1-Z1%)</f>
        <v>128.14</v>
      </c>
      <c r="F3416" s="2">
        <v>1</v>
      </c>
      <c r="G3416" s="2"/>
    </row>
    <row r="3417" spans="1:26" customHeight="1" ht="18" hidden="true" outlineLevel="3">
      <c r="A3417" s="2" t="s">
        <v>6414</v>
      </c>
      <c r="B3417" s="3" t="s">
        <v>6415</v>
      </c>
      <c r="C3417" s="2"/>
      <c r="D3417" s="2" t="s">
        <v>16</v>
      </c>
      <c r="E3417" s="4">
        <f>75.24*(1-Z1%)</f>
        <v>75.24</v>
      </c>
      <c r="F3417" s="2">
        <v>3</v>
      </c>
      <c r="G3417" s="2"/>
    </row>
    <row r="3418" spans="1:26" customHeight="1" ht="18" hidden="true" outlineLevel="3">
      <c r="A3418" s="2" t="s">
        <v>6416</v>
      </c>
      <c r="B3418" s="3" t="s">
        <v>6417</v>
      </c>
      <c r="C3418" s="2"/>
      <c r="D3418" s="2" t="s">
        <v>16</v>
      </c>
      <c r="E3418" s="4">
        <f>105.81*(1-Z1%)</f>
        <v>105.81</v>
      </c>
      <c r="F3418" s="2">
        <v>1</v>
      </c>
      <c r="G3418" s="2"/>
    </row>
    <row r="3419" spans="1:26" customHeight="1" ht="18" hidden="true" outlineLevel="3">
      <c r="A3419" s="2" t="s">
        <v>6418</v>
      </c>
      <c r="B3419" s="3" t="s">
        <v>6419</v>
      </c>
      <c r="C3419" s="2"/>
      <c r="D3419" s="2" t="s">
        <v>16</v>
      </c>
      <c r="E3419" s="4">
        <f>101.11*(1-Z1%)</f>
        <v>101.11</v>
      </c>
      <c r="F3419" s="2">
        <v>1</v>
      </c>
      <c r="G3419" s="2"/>
    </row>
    <row r="3420" spans="1:26" customHeight="1" ht="18" hidden="true" outlineLevel="3">
      <c r="A3420" s="2" t="s">
        <v>6420</v>
      </c>
      <c r="B3420" s="3" t="s">
        <v>6421</v>
      </c>
      <c r="C3420" s="2"/>
      <c r="D3420" s="2" t="s">
        <v>16</v>
      </c>
      <c r="E3420" s="4">
        <f>152.84*(1-Z1%)</f>
        <v>152.84</v>
      </c>
      <c r="F3420" s="2">
        <v>1</v>
      </c>
      <c r="G3420" s="2"/>
    </row>
    <row r="3421" spans="1:26" customHeight="1" ht="18" hidden="true" outlineLevel="3">
      <c r="A3421" s="2" t="s">
        <v>6422</v>
      </c>
      <c r="B3421" s="3" t="s">
        <v>6423</v>
      </c>
      <c r="C3421" s="2"/>
      <c r="D3421" s="2" t="s">
        <v>16</v>
      </c>
      <c r="E3421" s="4">
        <f>152.84*(1-Z1%)</f>
        <v>152.84</v>
      </c>
      <c r="F3421" s="2">
        <v>1</v>
      </c>
      <c r="G3421" s="2"/>
    </row>
    <row r="3422" spans="1:26" customHeight="1" ht="36" hidden="true" outlineLevel="3">
      <c r="A3422" s="2" t="s">
        <v>6424</v>
      </c>
      <c r="B3422" s="3" t="s">
        <v>6425</v>
      </c>
      <c r="C3422" s="2"/>
      <c r="D3422" s="2" t="s">
        <v>16</v>
      </c>
      <c r="E3422" s="4">
        <f>53.97*(1-Z1%)</f>
        <v>53.97</v>
      </c>
      <c r="F3422" s="2">
        <v>3</v>
      </c>
      <c r="G3422" s="2"/>
    </row>
    <row r="3423" spans="1:26" customHeight="1" ht="36" hidden="true" outlineLevel="3">
      <c r="A3423" s="2" t="s">
        <v>6426</v>
      </c>
      <c r="B3423" s="3" t="s">
        <v>6427</v>
      </c>
      <c r="C3423" s="2"/>
      <c r="D3423" s="2" t="s">
        <v>16</v>
      </c>
      <c r="E3423" s="4">
        <f>76.55*(1-Z1%)</f>
        <v>76.55</v>
      </c>
      <c r="F3423" s="2">
        <v>4</v>
      </c>
      <c r="G3423" s="2"/>
    </row>
    <row r="3424" spans="1:26" customHeight="1" ht="36" hidden="true" outlineLevel="3">
      <c r="A3424" s="2" t="s">
        <v>6428</v>
      </c>
      <c r="B3424" s="3" t="s">
        <v>6429</v>
      </c>
      <c r="C3424" s="2"/>
      <c r="D3424" s="2" t="s">
        <v>16</v>
      </c>
      <c r="E3424" s="4">
        <f>45.22*(1-Z1%)</f>
        <v>45.22</v>
      </c>
      <c r="F3424" s="2">
        <v>4</v>
      </c>
      <c r="G3424" s="2"/>
    </row>
    <row r="3425" spans="1:26" customHeight="1" ht="36" hidden="true" outlineLevel="3">
      <c r="A3425" s="2" t="s">
        <v>6430</v>
      </c>
      <c r="B3425" s="3" t="s">
        <v>6431</v>
      </c>
      <c r="C3425" s="2"/>
      <c r="D3425" s="2" t="s">
        <v>16</v>
      </c>
      <c r="E3425" s="4">
        <f>52.71*(1-Z1%)</f>
        <v>52.71</v>
      </c>
      <c r="F3425" s="2">
        <v>4</v>
      </c>
      <c r="G3425" s="2"/>
    </row>
    <row r="3426" spans="1:26" customHeight="1" ht="36" hidden="true" outlineLevel="3">
      <c r="A3426" s="2" t="s">
        <v>6432</v>
      </c>
      <c r="B3426" s="3" t="s">
        <v>6433</v>
      </c>
      <c r="C3426" s="2"/>
      <c r="D3426" s="2" t="s">
        <v>16</v>
      </c>
      <c r="E3426" s="4">
        <f>61.39*(1-Z1%)</f>
        <v>61.39</v>
      </c>
      <c r="F3426" s="2">
        <v>4</v>
      </c>
      <c r="G3426" s="2"/>
    </row>
    <row r="3427" spans="1:26" customHeight="1" ht="36" hidden="true" outlineLevel="3">
      <c r="A3427" s="2" t="s">
        <v>6434</v>
      </c>
      <c r="B3427" s="3" t="s">
        <v>6435</v>
      </c>
      <c r="C3427" s="2"/>
      <c r="D3427" s="2" t="s">
        <v>16</v>
      </c>
      <c r="E3427" s="4">
        <f>82.30*(1-Z1%)</f>
        <v>82.3</v>
      </c>
      <c r="F3427" s="2">
        <v>4</v>
      </c>
      <c r="G3427" s="2"/>
    </row>
    <row r="3428" spans="1:26" customHeight="1" ht="36" hidden="true" outlineLevel="3">
      <c r="A3428" s="2" t="s">
        <v>6436</v>
      </c>
      <c r="B3428" s="3" t="s">
        <v>6437</v>
      </c>
      <c r="C3428" s="2"/>
      <c r="D3428" s="2" t="s">
        <v>16</v>
      </c>
      <c r="E3428" s="4">
        <f>140.84*(1-Z1%)</f>
        <v>140.84</v>
      </c>
      <c r="F3428" s="2">
        <v>2</v>
      </c>
      <c r="G3428" s="2"/>
    </row>
    <row r="3429" spans="1:26" customHeight="1" ht="36" hidden="true" outlineLevel="3">
      <c r="A3429" s="2" t="s">
        <v>6438</v>
      </c>
      <c r="B3429" s="3" t="s">
        <v>6439</v>
      </c>
      <c r="C3429" s="2"/>
      <c r="D3429" s="2" t="s">
        <v>16</v>
      </c>
      <c r="E3429" s="4">
        <f>48.98*(1-Z1%)</f>
        <v>48.98</v>
      </c>
      <c r="F3429" s="2">
        <v>4</v>
      </c>
      <c r="G3429" s="2"/>
    </row>
    <row r="3430" spans="1:26" customHeight="1" ht="36" hidden="true" outlineLevel="3">
      <c r="A3430" s="2" t="s">
        <v>6440</v>
      </c>
      <c r="B3430" s="3" t="s">
        <v>6441</v>
      </c>
      <c r="C3430" s="2"/>
      <c r="D3430" s="2" t="s">
        <v>16</v>
      </c>
      <c r="E3430" s="4">
        <f>56.63*(1-Z1%)</f>
        <v>56.63</v>
      </c>
      <c r="F3430" s="2">
        <v>4</v>
      </c>
      <c r="G3430" s="2"/>
    </row>
    <row r="3431" spans="1:26" customHeight="1" ht="36" hidden="true" outlineLevel="3">
      <c r="A3431" s="2" t="s">
        <v>6442</v>
      </c>
      <c r="B3431" s="3" t="s">
        <v>6443</v>
      </c>
      <c r="C3431" s="2"/>
      <c r="D3431" s="2" t="s">
        <v>16</v>
      </c>
      <c r="E3431" s="4">
        <f>58.99*(1-Z1%)</f>
        <v>58.99</v>
      </c>
      <c r="F3431" s="2">
        <v>5</v>
      </c>
      <c r="G3431" s="2"/>
    </row>
    <row r="3432" spans="1:26" customHeight="1" ht="36" hidden="true" outlineLevel="3">
      <c r="A3432" s="2" t="s">
        <v>6444</v>
      </c>
      <c r="B3432" s="3" t="s">
        <v>6445</v>
      </c>
      <c r="C3432" s="2"/>
      <c r="D3432" s="2" t="s">
        <v>16</v>
      </c>
      <c r="E3432" s="4">
        <f>84.05*(1-Z1%)</f>
        <v>84.05</v>
      </c>
      <c r="F3432" s="2">
        <v>4</v>
      </c>
      <c r="G3432" s="2"/>
    </row>
    <row r="3433" spans="1:26" customHeight="1" ht="36" hidden="true" outlineLevel="3">
      <c r="A3433" s="2" t="s">
        <v>6446</v>
      </c>
      <c r="B3433" s="3" t="s">
        <v>6447</v>
      </c>
      <c r="C3433" s="2"/>
      <c r="D3433" s="2" t="s">
        <v>16</v>
      </c>
      <c r="E3433" s="4">
        <f>144.60*(1-Z1%)</f>
        <v>144.6</v>
      </c>
      <c r="F3433" s="2">
        <v>2</v>
      </c>
      <c r="G3433" s="2"/>
    </row>
    <row r="3434" spans="1:26" customHeight="1" ht="36" hidden="true" outlineLevel="3">
      <c r="A3434" s="2" t="s">
        <v>6448</v>
      </c>
      <c r="B3434" s="3" t="s">
        <v>6449</v>
      </c>
      <c r="C3434" s="2"/>
      <c r="D3434" s="2" t="s">
        <v>16</v>
      </c>
      <c r="E3434" s="4">
        <f>51.04*(1-Z1%)</f>
        <v>51.04</v>
      </c>
      <c r="F3434" s="2">
        <v>4</v>
      </c>
      <c r="G3434" s="2"/>
    </row>
    <row r="3435" spans="1:26" customHeight="1" ht="36" hidden="true" outlineLevel="3">
      <c r="A3435" s="2" t="s">
        <v>6450</v>
      </c>
      <c r="B3435" s="3" t="s">
        <v>6451</v>
      </c>
      <c r="C3435" s="2"/>
      <c r="D3435" s="2" t="s">
        <v>16</v>
      </c>
      <c r="E3435" s="4">
        <f>201.70*(1-Z1%)</f>
        <v>201.7</v>
      </c>
      <c r="F3435" s="2">
        <v>2</v>
      </c>
      <c r="G3435" s="2"/>
    </row>
    <row r="3436" spans="1:26" customHeight="1" ht="36" hidden="true" outlineLevel="3">
      <c r="A3436" s="2" t="s">
        <v>6452</v>
      </c>
      <c r="B3436" s="3" t="s">
        <v>6453</v>
      </c>
      <c r="C3436" s="2"/>
      <c r="D3436" s="2" t="s">
        <v>16</v>
      </c>
      <c r="E3436" s="4">
        <f>62.60*(1-Z1%)</f>
        <v>62.6</v>
      </c>
      <c r="F3436" s="2">
        <v>4</v>
      </c>
      <c r="G3436" s="2"/>
    </row>
    <row r="3437" spans="1:26" customHeight="1" ht="36" hidden="true" outlineLevel="3">
      <c r="A3437" s="2" t="s">
        <v>6454</v>
      </c>
      <c r="B3437" s="3" t="s">
        <v>6455</v>
      </c>
      <c r="C3437" s="2"/>
      <c r="D3437" s="2" t="s">
        <v>16</v>
      </c>
      <c r="E3437" s="4">
        <f>88.10*(1-Z1%)</f>
        <v>88.1</v>
      </c>
      <c r="F3437" s="2">
        <v>2</v>
      </c>
      <c r="G3437" s="2"/>
    </row>
    <row r="3438" spans="1:26" customHeight="1" ht="36" hidden="true" outlineLevel="3">
      <c r="A3438" s="2" t="s">
        <v>6456</v>
      </c>
      <c r="B3438" s="3" t="s">
        <v>6457</v>
      </c>
      <c r="C3438" s="2"/>
      <c r="D3438" s="2" t="s">
        <v>16</v>
      </c>
      <c r="E3438" s="4">
        <f>150.70*(1-Z1%)</f>
        <v>150.7</v>
      </c>
      <c r="F3438" s="2">
        <v>2</v>
      </c>
      <c r="G3438" s="2"/>
    </row>
    <row r="3439" spans="1:26" customHeight="1" ht="36" hidden="true" outlineLevel="3">
      <c r="A3439" s="2" t="s">
        <v>6458</v>
      </c>
      <c r="B3439" s="3" t="s">
        <v>6459</v>
      </c>
      <c r="C3439" s="2"/>
      <c r="D3439" s="2" t="s">
        <v>16</v>
      </c>
      <c r="E3439" s="4">
        <f>54.77*(1-Z1%)</f>
        <v>54.77</v>
      </c>
      <c r="F3439" s="2">
        <v>4</v>
      </c>
      <c r="G3439" s="2"/>
    </row>
    <row r="3440" spans="1:26" customHeight="1" ht="36" hidden="true" outlineLevel="3">
      <c r="A3440" s="2" t="s">
        <v>6460</v>
      </c>
      <c r="B3440" s="3" t="s">
        <v>6461</v>
      </c>
      <c r="C3440" s="2"/>
      <c r="D3440" s="2" t="s">
        <v>16</v>
      </c>
      <c r="E3440" s="4">
        <f>209.53*(1-Z1%)</f>
        <v>209.53</v>
      </c>
      <c r="F3440" s="2">
        <v>2</v>
      </c>
      <c r="G3440" s="2"/>
    </row>
    <row r="3441" spans="1:26" customHeight="1" ht="36" hidden="true" outlineLevel="3">
      <c r="A3441" s="2" t="s">
        <v>6462</v>
      </c>
      <c r="B3441" s="3" t="s">
        <v>6463</v>
      </c>
      <c r="C3441" s="2"/>
      <c r="D3441" s="2" t="s">
        <v>16</v>
      </c>
      <c r="E3441" s="4">
        <f>64.63*(1-Z1%)</f>
        <v>64.63</v>
      </c>
      <c r="F3441" s="2">
        <v>4</v>
      </c>
      <c r="G3441" s="2"/>
    </row>
    <row r="3442" spans="1:26" customHeight="1" ht="18" hidden="true" outlineLevel="3">
      <c r="A3442" s="2" t="s">
        <v>6464</v>
      </c>
      <c r="B3442" s="3" t="s">
        <v>6465</v>
      </c>
      <c r="C3442" s="2"/>
      <c r="D3442" s="2" t="s">
        <v>16</v>
      </c>
      <c r="E3442" s="4">
        <f>42.65*(1-Z1%)</f>
        <v>42.65</v>
      </c>
      <c r="F3442" s="2">
        <v>1</v>
      </c>
      <c r="G3442" s="2"/>
    </row>
    <row r="3443" spans="1:26" customHeight="1" ht="18" hidden="true" outlineLevel="3">
      <c r="A3443" s="2" t="s">
        <v>6466</v>
      </c>
      <c r="B3443" s="3" t="s">
        <v>6467</v>
      </c>
      <c r="C3443" s="2"/>
      <c r="D3443" s="2" t="s">
        <v>16</v>
      </c>
      <c r="E3443" s="4">
        <f>99.93*(1-Z1%)</f>
        <v>99.93</v>
      </c>
      <c r="F3443" s="2">
        <v>2</v>
      </c>
      <c r="G3443" s="2"/>
    </row>
    <row r="3444" spans="1:26" customHeight="1" ht="18" hidden="true" outlineLevel="3">
      <c r="A3444" s="2" t="s">
        <v>6468</v>
      </c>
      <c r="B3444" s="3" t="s">
        <v>6469</v>
      </c>
      <c r="C3444" s="2"/>
      <c r="D3444" s="2" t="s">
        <v>16</v>
      </c>
      <c r="E3444" s="4">
        <f>58.79*(1-Z1%)</f>
        <v>58.79</v>
      </c>
      <c r="F3444" s="2">
        <v>2</v>
      </c>
      <c r="G3444" s="2"/>
    </row>
    <row r="3445" spans="1:26" customHeight="1" ht="18" hidden="true" outlineLevel="3">
      <c r="A3445" s="2" t="s">
        <v>6470</v>
      </c>
      <c r="B3445" s="3" t="s">
        <v>6471</v>
      </c>
      <c r="C3445" s="2"/>
      <c r="D3445" s="2" t="s">
        <v>16</v>
      </c>
      <c r="E3445" s="4">
        <f>99.93*(1-Z1%)</f>
        <v>99.93</v>
      </c>
      <c r="F3445" s="2">
        <v>2</v>
      </c>
      <c r="G3445" s="2"/>
    </row>
    <row r="3446" spans="1:26" customHeight="1" ht="18" hidden="true" outlineLevel="3">
      <c r="A3446" s="2" t="s">
        <v>6472</v>
      </c>
      <c r="B3446" s="3" t="s">
        <v>6473</v>
      </c>
      <c r="C3446" s="2"/>
      <c r="D3446" s="2" t="s">
        <v>16</v>
      </c>
      <c r="E3446" s="4">
        <f>79.30*(1-Z1%)</f>
        <v>79.3</v>
      </c>
      <c r="F3446" s="2">
        <v>1</v>
      </c>
      <c r="G3446" s="2"/>
    </row>
    <row r="3447" spans="1:26" customHeight="1" ht="36" hidden="true" outlineLevel="3">
      <c r="A3447" s="2" t="s">
        <v>6474</v>
      </c>
      <c r="B3447" s="3" t="s">
        <v>6475</v>
      </c>
      <c r="C3447" s="2"/>
      <c r="D3447" s="2" t="s">
        <v>16</v>
      </c>
      <c r="E3447" s="4">
        <f>153.64*(1-Z1%)</f>
        <v>153.64</v>
      </c>
      <c r="F3447" s="2">
        <v>1</v>
      </c>
      <c r="G3447" s="2"/>
    </row>
    <row r="3448" spans="1:26" customHeight="1" ht="36" hidden="true" outlineLevel="3">
      <c r="A3448" s="2" t="s">
        <v>6476</v>
      </c>
      <c r="B3448" s="3" t="s">
        <v>6477</v>
      </c>
      <c r="C3448" s="2"/>
      <c r="D3448" s="2" t="s">
        <v>16</v>
      </c>
      <c r="E3448" s="4">
        <f>164.70*(1-Z1%)</f>
        <v>164.7</v>
      </c>
      <c r="F3448" s="2">
        <v>1</v>
      </c>
      <c r="G3448" s="2"/>
    </row>
    <row r="3449" spans="1:26" customHeight="1" ht="36" hidden="true" outlineLevel="3">
      <c r="A3449" s="2" t="s">
        <v>6478</v>
      </c>
      <c r="B3449" s="3" t="s">
        <v>6479</v>
      </c>
      <c r="C3449" s="2"/>
      <c r="D3449" s="2" t="s">
        <v>16</v>
      </c>
      <c r="E3449" s="4">
        <f>254.41*(1-Z1%)</f>
        <v>254.41</v>
      </c>
      <c r="F3449" s="2">
        <v>1</v>
      </c>
      <c r="G3449" s="2"/>
    </row>
    <row r="3450" spans="1:26" customHeight="1" ht="36" hidden="true" outlineLevel="3">
      <c r="A3450" s="2" t="s">
        <v>6480</v>
      </c>
      <c r="B3450" s="3" t="s">
        <v>6481</v>
      </c>
      <c r="C3450" s="2"/>
      <c r="D3450" s="2" t="s">
        <v>16</v>
      </c>
      <c r="E3450" s="4">
        <f>288.03*(1-Z1%)</f>
        <v>288.03</v>
      </c>
      <c r="F3450" s="2">
        <v>3</v>
      </c>
      <c r="G3450" s="2"/>
    </row>
    <row r="3451" spans="1:26" customHeight="1" ht="18" hidden="true" outlineLevel="3">
      <c r="A3451" s="2" t="s">
        <v>6482</v>
      </c>
      <c r="B3451" s="3" t="s">
        <v>6483</v>
      </c>
      <c r="C3451" s="2"/>
      <c r="D3451" s="2" t="s">
        <v>16</v>
      </c>
      <c r="E3451" s="4">
        <f>409.12*(1-Z1%)</f>
        <v>409.12</v>
      </c>
      <c r="F3451" s="2">
        <v>5</v>
      </c>
      <c r="G3451" s="2"/>
    </row>
    <row r="3452" spans="1:26" customHeight="1" ht="18" hidden="true" outlineLevel="3">
      <c r="A3452" s="2" t="s">
        <v>6484</v>
      </c>
      <c r="B3452" s="3" t="s">
        <v>6485</v>
      </c>
      <c r="C3452" s="2"/>
      <c r="D3452" s="2" t="s">
        <v>16</v>
      </c>
      <c r="E3452" s="4">
        <f>473.03*(1-Z1%)</f>
        <v>473.03</v>
      </c>
      <c r="F3452" s="2">
        <v>1</v>
      </c>
      <c r="G3452" s="2"/>
    </row>
    <row r="3453" spans="1:26" customHeight="1" ht="35" hidden="true" outlineLevel="2">
      <c r="A3453" s="5" t="s">
        <v>6486</v>
      </c>
      <c r="B3453" s="5"/>
      <c r="C3453" s="5"/>
      <c r="D3453" s="5"/>
      <c r="E3453" s="5"/>
      <c r="F3453" s="5"/>
      <c r="G3453" s="5"/>
    </row>
    <row r="3454" spans="1:26" customHeight="1" ht="35" hidden="true" outlineLevel="3">
      <c r="A3454" s="5" t="s">
        <v>6487</v>
      </c>
      <c r="B3454" s="5"/>
      <c r="C3454" s="5"/>
      <c r="D3454" s="5"/>
      <c r="E3454" s="5"/>
      <c r="F3454" s="5"/>
      <c r="G3454" s="5"/>
    </row>
    <row r="3455" spans="1:26" customHeight="1" ht="35" hidden="true" outlineLevel="4">
      <c r="A3455" s="5" t="s">
        <v>6488</v>
      </c>
      <c r="B3455" s="5"/>
      <c r="C3455" s="5"/>
      <c r="D3455" s="5"/>
      <c r="E3455" s="5"/>
      <c r="F3455" s="5"/>
      <c r="G3455" s="5"/>
    </row>
    <row r="3456" spans="1:26" customHeight="1" ht="18" hidden="true" outlineLevel="4">
      <c r="A3456" s="2" t="s">
        <v>6489</v>
      </c>
      <c r="B3456" s="3" t="s">
        <v>6490</v>
      </c>
      <c r="C3456" s="2"/>
      <c r="D3456" s="2" t="s">
        <v>16</v>
      </c>
      <c r="E3456" s="4">
        <f>31.45*(1-Z1%)</f>
        <v>31.45</v>
      </c>
      <c r="F3456" s="2">
        <v>10</v>
      </c>
      <c r="G3456" s="2"/>
    </row>
    <row r="3457" spans="1:26" customHeight="1" ht="18" hidden="true" outlineLevel="4">
      <c r="A3457" s="2" t="s">
        <v>6491</v>
      </c>
      <c r="B3457" s="3" t="s">
        <v>6492</v>
      </c>
      <c r="C3457" s="2"/>
      <c r="D3457" s="2" t="s">
        <v>16</v>
      </c>
      <c r="E3457" s="4">
        <f>317.14*(1-Z1%)</f>
        <v>317.14</v>
      </c>
      <c r="F3457" s="2">
        <v>2</v>
      </c>
      <c r="G3457" s="2"/>
    </row>
    <row r="3458" spans="1:26" customHeight="1" ht="18" hidden="true" outlineLevel="4">
      <c r="A3458" s="2" t="s">
        <v>6493</v>
      </c>
      <c r="B3458" s="3" t="s">
        <v>6492</v>
      </c>
      <c r="C3458" s="2"/>
      <c r="D3458" s="2" t="s">
        <v>16</v>
      </c>
      <c r="E3458" s="4">
        <f>287.10*(1-Z1%)</f>
        <v>287.1</v>
      </c>
      <c r="F3458" s="2">
        <v>3</v>
      </c>
      <c r="G3458" s="2"/>
    </row>
    <row r="3459" spans="1:26" customHeight="1" ht="18" hidden="true" outlineLevel="4">
      <c r="A3459" s="2" t="s">
        <v>6494</v>
      </c>
      <c r="B3459" s="3" t="s">
        <v>6492</v>
      </c>
      <c r="C3459" s="2"/>
      <c r="D3459" s="2" t="s">
        <v>16</v>
      </c>
      <c r="E3459" s="4">
        <f>287.10*(1-Z1%)</f>
        <v>287.1</v>
      </c>
      <c r="F3459" s="2">
        <v>2</v>
      </c>
      <c r="G3459" s="2"/>
    </row>
    <row r="3460" spans="1:26" customHeight="1" ht="18" hidden="true" outlineLevel="4">
      <c r="A3460" s="2" t="s">
        <v>6495</v>
      </c>
      <c r="B3460" s="3" t="s">
        <v>6492</v>
      </c>
      <c r="C3460" s="2"/>
      <c r="D3460" s="2" t="s">
        <v>16</v>
      </c>
      <c r="E3460" s="4">
        <f>287.10*(1-Z1%)</f>
        <v>287.1</v>
      </c>
      <c r="F3460" s="2">
        <v>1</v>
      </c>
      <c r="G3460" s="2"/>
    </row>
    <row r="3461" spans="1:26" customHeight="1" ht="18" hidden="true" outlineLevel="4">
      <c r="A3461" s="2" t="s">
        <v>6496</v>
      </c>
      <c r="B3461" s="3" t="s">
        <v>6492</v>
      </c>
      <c r="C3461" s="2"/>
      <c r="D3461" s="2" t="s">
        <v>16</v>
      </c>
      <c r="E3461" s="4">
        <f>287.10*(1-Z1%)</f>
        <v>287.1</v>
      </c>
      <c r="F3461" s="2">
        <v>2</v>
      </c>
      <c r="G3461" s="2"/>
    </row>
    <row r="3462" spans="1:26" customHeight="1" ht="18" hidden="true" outlineLevel="4">
      <c r="A3462" s="2" t="s">
        <v>6497</v>
      </c>
      <c r="B3462" s="3" t="s">
        <v>6492</v>
      </c>
      <c r="C3462" s="2"/>
      <c r="D3462" s="2" t="s">
        <v>16</v>
      </c>
      <c r="E3462" s="4">
        <f>344.59*(1-Z1%)</f>
        <v>344.59</v>
      </c>
      <c r="F3462" s="2">
        <v>3</v>
      </c>
      <c r="G3462" s="2"/>
    </row>
    <row r="3463" spans="1:26" customHeight="1" ht="18" hidden="true" outlineLevel="4">
      <c r="A3463" s="2" t="s">
        <v>6498</v>
      </c>
      <c r="B3463" s="3" t="s">
        <v>6492</v>
      </c>
      <c r="C3463" s="2"/>
      <c r="D3463" s="2" t="s">
        <v>16</v>
      </c>
      <c r="E3463" s="4">
        <f>344.59*(1-Z1%)</f>
        <v>344.59</v>
      </c>
      <c r="F3463" s="2">
        <v>2</v>
      </c>
      <c r="G3463" s="2"/>
    </row>
    <row r="3464" spans="1:26" customHeight="1" ht="18" hidden="true" outlineLevel="4">
      <c r="A3464" s="2" t="s">
        <v>6499</v>
      </c>
      <c r="B3464" s="3" t="s">
        <v>6492</v>
      </c>
      <c r="C3464" s="2"/>
      <c r="D3464" s="2" t="s">
        <v>16</v>
      </c>
      <c r="E3464" s="4">
        <f>315.90*(1-Z1%)</f>
        <v>315.9</v>
      </c>
      <c r="F3464" s="2">
        <v>2</v>
      </c>
      <c r="G3464" s="2"/>
    </row>
    <row r="3465" spans="1:26" customHeight="1" ht="18" hidden="true" outlineLevel="4">
      <c r="A3465" s="2" t="s">
        <v>6500</v>
      </c>
      <c r="B3465" s="3" t="s">
        <v>6492</v>
      </c>
      <c r="C3465" s="2"/>
      <c r="D3465" s="2" t="s">
        <v>16</v>
      </c>
      <c r="E3465" s="4">
        <f>315.90*(1-Z1%)</f>
        <v>315.9</v>
      </c>
      <c r="F3465" s="2">
        <v>2</v>
      </c>
      <c r="G3465" s="2"/>
    </row>
    <row r="3466" spans="1:26" customHeight="1" ht="18" hidden="true" outlineLevel="4">
      <c r="A3466" s="2" t="s">
        <v>6501</v>
      </c>
      <c r="B3466" s="3" t="s">
        <v>6502</v>
      </c>
      <c r="C3466" s="2"/>
      <c r="D3466" s="2" t="s">
        <v>16</v>
      </c>
      <c r="E3466" s="4">
        <f>228.38*(1-Z1%)</f>
        <v>228.38</v>
      </c>
      <c r="F3466" s="2">
        <v>1</v>
      </c>
      <c r="G3466" s="2"/>
    </row>
    <row r="3467" spans="1:26" customHeight="1" ht="18" hidden="true" outlineLevel="4">
      <c r="A3467" s="2" t="s">
        <v>6503</v>
      </c>
      <c r="B3467" s="3" t="s">
        <v>6504</v>
      </c>
      <c r="C3467" s="2"/>
      <c r="D3467" s="2" t="s">
        <v>16</v>
      </c>
      <c r="E3467" s="4">
        <f>317.14*(1-Z1%)</f>
        <v>317.14</v>
      </c>
      <c r="F3467" s="2">
        <v>1</v>
      </c>
      <c r="G3467" s="2"/>
    </row>
    <row r="3468" spans="1:26" customHeight="1" ht="18" hidden="true" outlineLevel="4">
      <c r="A3468" s="2" t="s">
        <v>6505</v>
      </c>
      <c r="B3468" s="3" t="s">
        <v>6506</v>
      </c>
      <c r="C3468" s="2"/>
      <c r="D3468" s="2" t="s">
        <v>16</v>
      </c>
      <c r="E3468" s="4">
        <f>492.08*(1-Z1%)</f>
        <v>492.08</v>
      </c>
      <c r="F3468" s="2">
        <v>3</v>
      </c>
      <c r="G3468" s="2"/>
    </row>
    <row r="3469" spans="1:26" customHeight="1" ht="18" hidden="true" outlineLevel="4">
      <c r="A3469" s="2" t="s">
        <v>6507</v>
      </c>
      <c r="B3469" s="3" t="s">
        <v>6508</v>
      </c>
      <c r="C3469" s="2"/>
      <c r="D3469" s="2" t="s">
        <v>16</v>
      </c>
      <c r="E3469" s="4">
        <f>417.60*(1-Z1%)</f>
        <v>417.6</v>
      </c>
      <c r="F3469" s="2">
        <v>5</v>
      </c>
      <c r="G3469" s="2"/>
    </row>
    <row r="3470" spans="1:26" customHeight="1" ht="18" hidden="true" outlineLevel="4">
      <c r="A3470" s="2" t="s">
        <v>6509</v>
      </c>
      <c r="B3470" s="3" t="s">
        <v>6510</v>
      </c>
      <c r="C3470" s="2"/>
      <c r="D3470" s="2" t="s">
        <v>16</v>
      </c>
      <c r="E3470" s="4">
        <f>97.58*(1-Z1%)</f>
        <v>97.58</v>
      </c>
      <c r="F3470" s="2">
        <v>1</v>
      </c>
      <c r="G3470" s="2"/>
    </row>
    <row r="3471" spans="1:26" customHeight="1" ht="18" hidden="true" outlineLevel="4">
      <c r="A3471" s="2" t="s">
        <v>6511</v>
      </c>
      <c r="B3471" s="3" t="s">
        <v>6512</v>
      </c>
      <c r="C3471" s="2"/>
      <c r="D3471" s="2" t="s">
        <v>16</v>
      </c>
      <c r="E3471" s="4">
        <f>97.58*(1-Z1%)</f>
        <v>97.58</v>
      </c>
      <c r="F3471" s="2">
        <v>2</v>
      </c>
      <c r="G3471" s="2"/>
    </row>
    <row r="3472" spans="1:26" customHeight="1" ht="18" hidden="true" outlineLevel="4">
      <c r="A3472" s="2" t="s">
        <v>6513</v>
      </c>
      <c r="B3472" s="3" t="s">
        <v>6514</v>
      </c>
      <c r="C3472" s="2"/>
      <c r="D3472" s="2" t="s">
        <v>16</v>
      </c>
      <c r="E3472" s="4">
        <f>97.58*(1-Z1%)</f>
        <v>97.58</v>
      </c>
      <c r="F3472" s="2">
        <v>3</v>
      </c>
      <c r="G3472" s="2"/>
    </row>
    <row r="3473" spans="1:26" customHeight="1" ht="18" hidden="true" outlineLevel="4">
      <c r="A3473" s="2" t="s">
        <v>6515</v>
      </c>
      <c r="B3473" s="3" t="s">
        <v>6516</v>
      </c>
      <c r="C3473" s="2"/>
      <c r="D3473" s="2" t="s">
        <v>16</v>
      </c>
      <c r="E3473" s="4">
        <f>97.58*(1-Z1%)</f>
        <v>97.58</v>
      </c>
      <c r="F3473" s="2">
        <v>3</v>
      </c>
      <c r="G3473" s="2"/>
    </row>
    <row r="3474" spans="1:26" customHeight="1" ht="18" hidden="true" outlineLevel="4">
      <c r="A3474" s="2" t="s">
        <v>6517</v>
      </c>
      <c r="B3474" s="3" t="s">
        <v>6518</v>
      </c>
      <c r="C3474" s="2"/>
      <c r="D3474" s="2" t="s">
        <v>16</v>
      </c>
      <c r="E3474" s="4">
        <f>97.58*(1-Z1%)</f>
        <v>97.58</v>
      </c>
      <c r="F3474" s="2">
        <v>5</v>
      </c>
      <c r="G3474" s="2"/>
    </row>
    <row r="3475" spans="1:26" customHeight="1" ht="18" hidden="true" outlineLevel="4">
      <c r="A3475" s="2" t="s">
        <v>6519</v>
      </c>
      <c r="B3475" s="3" t="s">
        <v>6520</v>
      </c>
      <c r="C3475" s="2"/>
      <c r="D3475" s="2" t="s">
        <v>16</v>
      </c>
      <c r="E3475" s="4">
        <f>97.58*(1-Z1%)</f>
        <v>97.58</v>
      </c>
      <c r="F3475" s="2">
        <v>5</v>
      </c>
      <c r="G3475" s="2"/>
    </row>
    <row r="3476" spans="1:26" customHeight="1" ht="18" hidden="true" outlineLevel="4">
      <c r="A3476" s="2" t="s">
        <v>6521</v>
      </c>
      <c r="B3476" s="3" t="s">
        <v>6522</v>
      </c>
      <c r="C3476" s="2"/>
      <c r="D3476" s="2" t="s">
        <v>16</v>
      </c>
      <c r="E3476" s="4">
        <f>97.58*(1-Z1%)</f>
        <v>97.58</v>
      </c>
      <c r="F3476" s="2">
        <v>7</v>
      </c>
      <c r="G3476" s="2"/>
    </row>
    <row r="3477" spans="1:26" customHeight="1" ht="18" hidden="true" outlineLevel="4">
      <c r="A3477" s="2" t="s">
        <v>6523</v>
      </c>
      <c r="B3477" s="3" t="s">
        <v>6524</v>
      </c>
      <c r="C3477" s="2"/>
      <c r="D3477" s="2" t="s">
        <v>16</v>
      </c>
      <c r="E3477" s="4">
        <f>138.15*(1-Z1%)</f>
        <v>138.15</v>
      </c>
      <c r="F3477" s="2">
        <v>6</v>
      </c>
      <c r="G3477" s="2"/>
    </row>
    <row r="3478" spans="1:26" customHeight="1" ht="18" hidden="true" outlineLevel="4">
      <c r="A3478" s="2" t="s">
        <v>6525</v>
      </c>
      <c r="B3478" s="3" t="s">
        <v>6526</v>
      </c>
      <c r="C3478" s="2"/>
      <c r="D3478" s="2" t="s">
        <v>16</v>
      </c>
      <c r="E3478" s="4">
        <f>97.58*(1-Z1%)</f>
        <v>97.58</v>
      </c>
      <c r="F3478" s="2">
        <v>5</v>
      </c>
      <c r="G3478" s="2"/>
    </row>
    <row r="3479" spans="1:26" customHeight="1" ht="18" hidden="true" outlineLevel="4">
      <c r="A3479" s="2" t="s">
        <v>6527</v>
      </c>
      <c r="B3479" s="3" t="s">
        <v>6528</v>
      </c>
      <c r="C3479" s="2"/>
      <c r="D3479" s="2" t="s">
        <v>16</v>
      </c>
      <c r="E3479" s="4">
        <f>97.58*(1-Z1%)</f>
        <v>97.58</v>
      </c>
      <c r="F3479" s="2">
        <v>1</v>
      </c>
      <c r="G3479" s="2"/>
    </row>
    <row r="3480" spans="1:26" customHeight="1" ht="35" hidden="true" outlineLevel="4">
      <c r="A3480" s="5" t="s">
        <v>6529</v>
      </c>
      <c r="B3480" s="5"/>
      <c r="C3480" s="5"/>
      <c r="D3480" s="5"/>
      <c r="E3480" s="5"/>
      <c r="F3480" s="5"/>
      <c r="G3480" s="5"/>
    </row>
    <row r="3481" spans="1:26" customHeight="1" ht="36" hidden="true" outlineLevel="4">
      <c r="A3481" s="2" t="s">
        <v>6530</v>
      </c>
      <c r="B3481" s="3" t="s">
        <v>6531</v>
      </c>
      <c r="C3481" s="2"/>
      <c r="D3481" s="2" t="s">
        <v>16</v>
      </c>
      <c r="E3481" s="4">
        <f>53.97*(1-Z1%)</f>
        <v>53.97</v>
      </c>
      <c r="F3481" s="2">
        <v>2</v>
      </c>
      <c r="G3481" s="2"/>
    </row>
    <row r="3482" spans="1:26" customHeight="1" ht="18" hidden="true" outlineLevel="4">
      <c r="A3482" s="2" t="s">
        <v>6532</v>
      </c>
      <c r="B3482" s="3" t="s">
        <v>6533</v>
      </c>
      <c r="C3482" s="2"/>
      <c r="D3482" s="2" t="s">
        <v>16</v>
      </c>
      <c r="E3482" s="4">
        <f>21.66*(1-Z1%)</f>
        <v>21.66</v>
      </c>
      <c r="F3482" s="2">
        <v>10</v>
      </c>
      <c r="G3482" s="2"/>
    </row>
    <row r="3483" spans="1:26" customHeight="1" ht="36" hidden="true" outlineLevel="4">
      <c r="A3483" s="2" t="s">
        <v>6534</v>
      </c>
      <c r="B3483" s="3" t="s">
        <v>6535</v>
      </c>
      <c r="C3483" s="2"/>
      <c r="D3483" s="2" t="s">
        <v>16</v>
      </c>
      <c r="E3483" s="4">
        <f>210.44*(1-Z1%)</f>
        <v>210.44</v>
      </c>
      <c r="F3483" s="2">
        <v>5</v>
      </c>
      <c r="G3483" s="2"/>
    </row>
    <row r="3484" spans="1:26" customHeight="1" ht="36" hidden="true" outlineLevel="4">
      <c r="A3484" s="2" t="s">
        <v>6536</v>
      </c>
      <c r="B3484" s="3" t="s">
        <v>6537</v>
      </c>
      <c r="C3484" s="2"/>
      <c r="D3484" s="2" t="s">
        <v>16</v>
      </c>
      <c r="E3484" s="4">
        <f>109.33*(1-Z1%)</f>
        <v>109.33</v>
      </c>
      <c r="F3484" s="2">
        <v>2</v>
      </c>
      <c r="G3484" s="2"/>
    </row>
    <row r="3485" spans="1:26" customHeight="1" ht="36" hidden="true" outlineLevel="4">
      <c r="A3485" s="2" t="s">
        <v>6538</v>
      </c>
      <c r="B3485" s="3" t="s">
        <v>6539</v>
      </c>
      <c r="C3485" s="2"/>
      <c r="D3485" s="2" t="s">
        <v>16</v>
      </c>
      <c r="E3485" s="4">
        <f>151.73*(1-Z1%)</f>
        <v>151.73</v>
      </c>
      <c r="F3485" s="2">
        <v>5</v>
      </c>
      <c r="G3485" s="2"/>
    </row>
    <row r="3486" spans="1:26" customHeight="1" ht="36" hidden="true" outlineLevel="4">
      <c r="A3486" s="2" t="s">
        <v>6540</v>
      </c>
      <c r="B3486" s="3" t="s">
        <v>6541</v>
      </c>
      <c r="C3486" s="2"/>
      <c r="D3486" s="2" t="s">
        <v>16</v>
      </c>
      <c r="E3486" s="4">
        <f>43.44*(1-Z1%)</f>
        <v>43.44</v>
      </c>
      <c r="F3486" s="2">
        <v>4</v>
      </c>
      <c r="G3486" s="2"/>
    </row>
    <row r="3487" spans="1:26" customHeight="1" ht="36" hidden="true" outlineLevel="4">
      <c r="A3487" s="2" t="s">
        <v>6542</v>
      </c>
      <c r="B3487" s="3" t="s">
        <v>6543</v>
      </c>
      <c r="C3487" s="2"/>
      <c r="D3487" s="2" t="s">
        <v>16</v>
      </c>
      <c r="E3487" s="4">
        <f>47.90*(1-Z1%)</f>
        <v>47.9</v>
      </c>
      <c r="F3487" s="2">
        <v>3</v>
      </c>
      <c r="G3487" s="2"/>
    </row>
    <row r="3488" spans="1:26" customHeight="1" ht="36" hidden="true" outlineLevel="4">
      <c r="A3488" s="2" t="s">
        <v>6544</v>
      </c>
      <c r="B3488" s="3" t="s">
        <v>6545</v>
      </c>
      <c r="C3488" s="2"/>
      <c r="D3488" s="2" t="s">
        <v>16</v>
      </c>
      <c r="E3488" s="4">
        <f>63.49*(1-Z1%)</f>
        <v>63.49</v>
      </c>
      <c r="F3488" s="2">
        <v>3</v>
      </c>
      <c r="G3488" s="2"/>
    </row>
    <row r="3489" spans="1:26" customHeight="1" ht="36" hidden="true" outlineLevel="4">
      <c r="A3489" s="2" t="s">
        <v>6546</v>
      </c>
      <c r="B3489" s="3" t="s">
        <v>6547</v>
      </c>
      <c r="C3489" s="2"/>
      <c r="D3489" s="2" t="s">
        <v>16</v>
      </c>
      <c r="E3489" s="4">
        <f>88.00*(1-Z1%)</f>
        <v>88</v>
      </c>
      <c r="F3489" s="2">
        <v>1</v>
      </c>
      <c r="G3489" s="2"/>
    </row>
    <row r="3490" spans="1:26" customHeight="1" ht="35" hidden="true" outlineLevel="4">
      <c r="A3490" s="5" t="s">
        <v>6548</v>
      </c>
      <c r="B3490" s="5"/>
      <c r="C3490" s="5"/>
      <c r="D3490" s="5"/>
      <c r="E3490" s="5"/>
      <c r="F3490" s="5"/>
      <c r="G3490" s="5"/>
    </row>
    <row r="3491" spans="1:26" customHeight="1" ht="36" hidden="true" outlineLevel="4">
      <c r="A3491" s="2" t="s">
        <v>6549</v>
      </c>
      <c r="B3491" s="3" t="s">
        <v>6550</v>
      </c>
      <c r="C3491" s="2"/>
      <c r="D3491" s="2" t="s">
        <v>16</v>
      </c>
      <c r="E3491" s="4">
        <f>89.31*(1-Z1%)</f>
        <v>89.31</v>
      </c>
      <c r="F3491" s="2">
        <v>8</v>
      </c>
      <c r="G3491" s="2"/>
    </row>
    <row r="3492" spans="1:26" customHeight="1" ht="36" hidden="true" outlineLevel="4">
      <c r="A3492" s="2" t="s">
        <v>6551</v>
      </c>
      <c r="B3492" s="3" t="s">
        <v>6552</v>
      </c>
      <c r="C3492" s="2"/>
      <c r="D3492" s="2" t="s">
        <v>16</v>
      </c>
      <c r="E3492" s="4">
        <f>184.28*(1-Z1%)</f>
        <v>184.28</v>
      </c>
      <c r="F3492" s="2">
        <v>1</v>
      </c>
      <c r="G3492" s="2"/>
    </row>
    <row r="3493" spans="1:26" customHeight="1" ht="18" hidden="true" outlineLevel="4">
      <c r="A3493" s="2" t="s">
        <v>6553</v>
      </c>
      <c r="B3493" s="3" t="s">
        <v>6554</v>
      </c>
      <c r="C3493" s="2"/>
      <c r="D3493" s="2" t="s">
        <v>16</v>
      </c>
      <c r="E3493" s="4">
        <f>126.97*(1-Z1%)</f>
        <v>126.97</v>
      </c>
      <c r="F3493" s="2">
        <v>4</v>
      </c>
      <c r="G3493" s="2"/>
    </row>
    <row r="3494" spans="1:26" customHeight="1" ht="35" hidden="true" outlineLevel="3">
      <c r="A3494" s="5" t="s">
        <v>6555</v>
      </c>
      <c r="B3494" s="5"/>
      <c r="C3494" s="5"/>
      <c r="D3494" s="5"/>
      <c r="E3494" s="5"/>
      <c r="F3494" s="5"/>
      <c r="G3494" s="5"/>
    </row>
    <row r="3495" spans="1:26" customHeight="1" ht="18" hidden="true" outlineLevel="3">
      <c r="A3495" s="2" t="s">
        <v>6556</v>
      </c>
      <c r="B3495" s="3" t="s">
        <v>6557</v>
      </c>
      <c r="C3495" s="2"/>
      <c r="D3495" s="2" t="s">
        <v>16</v>
      </c>
      <c r="E3495" s="4">
        <f>23.52*(1-Z1%)</f>
        <v>23.52</v>
      </c>
      <c r="F3495" s="2">
        <v>4</v>
      </c>
      <c r="G3495" s="2"/>
    </row>
    <row r="3496" spans="1:26" customHeight="1" ht="18" hidden="true" outlineLevel="3">
      <c r="A3496" s="2" t="s">
        <v>6558</v>
      </c>
      <c r="B3496" s="3" t="s">
        <v>6559</v>
      </c>
      <c r="C3496" s="2"/>
      <c r="D3496" s="2" t="s">
        <v>16</v>
      </c>
      <c r="E3496" s="4">
        <f>27.04*(1-Z1%)</f>
        <v>27.04</v>
      </c>
      <c r="F3496" s="2">
        <v>4</v>
      </c>
      <c r="G3496" s="2"/>
    </row>
    <row r="3497" spans="1:26" customHeight="1" ht="18" hidden="true" outlineLevel="3">
      <c r="A3497" s="2" t="s">
        <v>6560</v>
      </c>
      <c r="B3497" s="3" t="s">
        <v>6561</v>
      </c>
      <c r="C3497" s="2"/>
      <c r="D3497" s="2" t="s">
        <v>16</v>
      </c>
      <c r="E3497" s="4">
        <f>37.04*(1-Z1%)</f>
        <v>37.04</v>
      </c>
      <c r="F3497" s="2">
        <v>2</v>
      </c>
      <c r="G3497" s="2"/>
    </row>
    <row r="3498" spans="1:26" customHeight="1" ht="18" hidden="true" outlineLevel="3">
      <c r="A3498" s="2" t="s">
        <v>6562</v>
      </c>
      <c r="B3498" s="3" t="s">
        <v>6563</v>
      </c>
      <c r="C3498" s="2"/>
      <c r="D3498" s="2" t="s">
        <v>16</v>
      </c>
      <c r="E3498" s="4">
        <f>40.57*(1-Z1%)</f>
        <v>40.57</v>
      </c>
      <c r="F3498" s="2">
        <v>3</v>
      </c>
      <c r="G3498" s="2"/>
    </row>
    <row r="3499" spans="1:26" customHeight="1" ht="18" hidden="true" outlineLevel="3">
      <c r="A3499" s="2" t="s">
        <v>6564</v>
      </c>
      <c r="B3499" s="3" t="s">
        <v>6565</v>
      </c>
      <c r="C3499" s="2"/>
      <c r="D3499" s="2" t="s">
        <v>16</v>
      </c>
      <c r="E3499" s="4">
        <f>43.50*(1-Z1%)</f>
        <v>43.5</v>
      </c>
      <c r="F3499" s="2">
        <v>1</v>
      </c>
      <c r="G3499" s="2"/>
    </row>
    <row r="3500" spans="1:26" customHeight="1" ht="18" hidden="true" outlineLevel="3">
      <c r="A3500" s="2" t="s">
        <v>6566</v>
      </c>
      <c r="B3500" s="3" t="s">
        <v>6567</v>
      </c>
      <c r="C3500" s="2"/>
      <c r="D3500" s="2" t="s">
        <v>16</v>
      </c>
      <c r="E3500" s="4">
        <f>304.49*(1-Z1%)</f>
        <v>304.49</v>
      </c>
      <c r="F3500" s="2">
        <v>2</v>
      </c>
      <c r="G3500" s="2"/>
    </row>
    <row r="3501" spans="1:26" customHeight="1" ht="36" hidden="true" outlineLevel="3">
      <c r="A3501" s="2" t="s">
        <v>6568</v>
      </c>
      <c r="B3501" s="3" t="s">
        <v>6569</v>
      </c>
      <c r="C3501" s="2"/>
      <c r="D3501" s="2" t="s">
        <v>16</v>
      </c>
      <c r="E3501" s="4">
        <f>322.13*(1-Z1%)</f>
        <v>322.13</v>
      </c>
      <c r="F3501" s="2">
        <v>1</v>
      </c>
      <c r="G3501" s="2"/>
    </row>
    <row r="3502" spans="1:26" customHeight="1" ht="18" hidden="true" outlineLevel="3">
      <c r="A3502" s="2" t="s">
        <v>6570</v>
      </c>
      <c r="B3502" s="3" t="s">
        <v>6571</v>
      </c>
      <c r="C3502" s="2"/>
      <c r="D3502" s="2" t="s">
        <v>16</v>
      </c>
      <c r="E3502" s="4">
        <f>302.61*(1-Z1%)</f>
        <v>302.61</v>
      </c>
      <c r="F3502" s="2">
        <v>10</v>
      </c>
      <c r="G3502" s="2"/>
    </row>
    <row r="3503" spans="1:26" customHeight="1" ht="35" hidden="true" outlineLevel="3">
      <c r="A3503" s="5" t="s">
        <v>6572</v>
      </c>
      <c r="B3503" s="5"/>
      <c r="C3503" s="5"/>
      <c r="D3503" s="5"/>
      <c r="E3503" s="5"/>
      <c r="F3503" s="5"/>
      <c r="G3503" s="5"/>
    </row>
    <row r="3504" spans="1:26" customHeight="1" ht="18" hidden="true" outlineLevel="3">
      <c r="A3504" s="2" t="s">
        <v>6573</v>
      </c>
      <c r="B3504" s="3" t="s">
        <v>6574</v>
      </c>
      <c r="C3504" s="2"/>
      <c r="D3504" s="2" t="s">
        <v>16</v>
      </c>
      <c r="E3504" s="4">
        <f>51.59*(1-Z1%)</f>
        <v>51.59</v>
      </c>
      <c r="F3504" s="2">
        <v>8</v>
      </c>
      <c r="G3504" s="2"/>
    </row>
    <row r="3505" spans="1:26" customHeight="1" ht="18" hidden="true" outlineLevel="3">
      <c r="A3505" s="2" t="s">
        <v>6575</v>
      </c>
      <c r="B3505" s="3" t="s">
        <v>6576</v>
      </c>
      <c r="C3505" s="2"/>
      <c r="D3505" s="2" t="s">
        <v>16</v>
      </c>
      <c r="E3505" s="4">
        <f>30.08*(1-Z1%)</f>
        <v>30.08</v>
      </c>
      <c r="F3505" s="2">
        <v>12</v>
      </c>
      <c r="G3505" s="2"/>
    </row>
    <row r="3506" spans="1:26" customHeight="1" ht="35" hidden="true" outlineLevel="3">
      <c r="A3506" s="5" t="s">
        <v>6577</v>
      </c>
      <c r="B3506" s="5"/>
      <c r="C3506" s="5"/>
      <c r="D3506" s="5"/>
      <c r="E3506" s="5"/>
      <c r="F3506" s="5"/>
      <c r="G3506" s="5"/>
    </row>
    <row r="3507" spans="1:26" customHeight="1" ht="18" hidden="true" outlineLevel="3">
      <c r="A3507" s="2" t="s">
        <v>6578</v>
      </c>
      <c r="B3507" s="3" t="s">
        <v>6579</v>
      </c>
      <c r="C3507" s="2"/>
      <c r="D3507" s="2" t="s">
        <v>16</v>
      </c>
      <c r="E3507" s="4">
        <f>941.36*(1-Z1%)</f>
        <v>941.36</v>
      </c>
      <c r="F3507" s="2">
        <v>2</v>
      </c>
      <c r="G3507" s="2"/>
    </row>
    <row r="3508" spans="1:26" customHeight="1" ht="35" hidden="true" outlineLevel="2">
      <c r="A3508" s="5" t="s">
        <v>6580</v>
      </c>
      <c r="B3508" s="5"/>
      <c r="C3508" s="5"/>
      <c r="D3508" s="5"/>
      <c r="E3508" s="5"/>
      <c r="F3508" s="5"/>
      <c r="G3508" s="5"/>
    </row>
    <row r="3509" spans="1:26" customHeight="1" ht="18" hidden="true" outlineLevel="2">
      <c r="A3509" s="2" t="s">
        <v>6581</v>
      </c>
      <c r="B3509" s="3" t="s">
        <v>6582</v>
      </c>
      <c r="C3509" s="2"/>
      <c r="D3509" s="2" t="s">
        <v>16</v>
      </c>
      <c r="E3509" s="4">
        <f>141.53*(1-Z1%)</f>
        <v>141.53</v>
      </c>
      <c r="F3509" s="2">
        <v>20</v>
      </c>
      <c r="G3509" s="2"/>
    </row>
    <row r="3510" spans="1:26" customHeight="1" ht="18" hidden="true" outlineLevel="2">
      <c r="A3510" s="2" t="s">
        <v>6583</v>
      </c>
      <c r="B3510" s="3" t="s">
        <v>6584</v>
      </c>
      <c r="C3510" s="2"/>
      <c r="D3510" s="2" t="s">
        <v>16</v>
      </c>
      <c r="E3510" s="4">
        <f>304.49*(1-Z1%)</f>
        <v>304.49</v>
      </c>
      <c r="F3510" s="2">
        <v>5</v>
      </c>
      <c r="G3510" s="2"/>
    </row>
    <row r="3511" spans="1:26" customHeight="1" ht="18" hidden="true" outlineLevel="2">
      <c r="A3511" s="2" t="s">
        <v>6585</v>
      </c>
      <c r="B3511" s="3" t="s">
        <v>6586</v>
      </c>
      <c r="C3511" s="2"/>
      <c r="D3511" s="2" t="s">
        <v>16</v>
      </c>
      <c r="E3511" s="4">
        <f>213.95*(1-Z1%)</f>
        <v>213.95</v>
      </c>
      <c r="F3511" s="2">
        <v>8</v>
      </c>
      <c r="G3511" s="2"/>
    </row>
    <row r="3512" spans="1:26" customHeight="1" ht="35" hidden="true" outlineLevel="2">
      <c r="A3512" s="5" t="s">
        <v>6587</v>
      </c>
      <c r="B3512" s="5"/>
      <c r="C3512" s="5"/>
      <c r="D3512" s="5"/>
      <c r="E3512" s="5"/>
      <c r="F3512" s="5"/>
      <c r="G3512" s="5"/>
    </row>
    <row r="3513" spans="1:26" customHeight="1" ht="35" hidden="true" outlineLevel="3">
      <c r="A3513" s="5" t="s">
        <v>6588</v>
      </c>
      <c r="B3513" s="5"/>
      <c r="C3513" s="5"/>
      <c r="D3513" s="5"/>
      <c r="E3513" s="5"/>
      <c r="F3513" s="5"/>
      <c r="G3513" s="5"/>
    </row>
    <row r="3514" spans="1:26" customHeight="1" ht="35" hidden="true" outlineLevel="4">
      <c r="A3514" s="5" t="s">
        <v>6589</v>
      </c>
      <c r="B3514" s="5"/>
      <c r="C3514" s="5"/>
      <c r="D3514" s="5"/>
      <c r="E3514" s="5"/>
      <c r="F3514" s="5"/>
      <c r="G3514" s="5"/>
    </row>
    <row r="3515" spans="1:26" customHeight="1" ht="18" hidden="true" outlineLevel="4">
      <c r="A3515" s="2" t="s">
        <v>6590</v>
      </c>
      <c r="B3515" s="3" t="s">
        <v>6591</v>
      </c>
      <c r="C3515" s="2"/>
      <c r="D3515" s="2" t="s">
        <v>16</v>
      </c>
      <c r="E3515" s="4">
        <f>29.39*(1-Z1%)</f>
        <v>29.39</v>
      </c>
      <c r="F3515" s="2">
        <v>11</v>
      </c>
      <c r="G3515" s="2"/>
    </row>
    <row r="3516" spans="1:26" customHeight="1" ht="18" hidden="true" outlineLevel="4">
      <c r="A3516" s="2" t="s">
        <v>6592</v>
      </c>
      <c r="B3516" s="3" t="s">
        <v>6593</v>
      </c>
      <c r="C3516" s="2"/>
      <c r="D3516" s="2" t="s">
        <v>16</v>
      </c>
      <c r="E3516" s="4">
        <f>89.86*(1-Z1%)</f>
        <v>89.86</v>
      </c>
      <c r="F3516" s="2">
        <v>1</v>
      </c>
      <c r="G3516" s="2"/>
    </row>
    <row r="3517" spans="1:26" customHeight="1" ht="35" hidden="true" outlineLevel="4">
      <c r="A3517" s="5" t="s">
        <v>6594</v>
      </c>
      <c r="B3517" s="5"/>
      <c r="C3517" s="5"/>
      <c r="D3517" s="5"/>
      <c r="E3517" s="5"/>
      <c r="F3517" s="5"/>
      <c r="G3517" s="5"/>
    </row>
    <row r="3518" spans="1:26" customHeight="1" ht="18" hidden="true" outlineLevel="4">
      <c r="A3518" s="2" t="s">
        <v>6595</v>
      </c>
      <c r="B3518" s="3" t="s">
        <v>6596</v>
      </c>
      <c r="C3518" s="2"/>
      <c r="D3518" s="2" t="s">
        <v>16</v>
      </c>
      <c r="E3518" s="4">
        <f>247.88*(1-Z1%)</f>
        <v>247.88</v>
      </c>
      <c r="F3518" s="2">
        <v>2</v>
      </c>
      <c r="G3518" s="2"/>
    </row>
    <row r="3519" spans="1:26" customHeight="1" ht="35" hidden="true" outlineLevel="4">
      <c r="A3519" s="5" t="s">
        <v>6597</v>
      </c>
      <c r="B3519" s="5"/>
      <c r="C3519" s="5"/>
      <c r="D3519" s="5"/>
      <c r="E3519" s="5"/>
      <c r="F3519" s="5"/>
      <c r="G3519" s="5"/>
    </row>
    <row r="3520" spans="1:26" customHeight="1" ht="18" hidden="true" outlineLevel="4">
      <c r="A3520" s="2" t="s">
        <v>6598</v>
      </c>
      <c r="B3520" s="3" t="s">
        <v>6599</v>
      </c>
      <c r="C3520" s="2"/>
      <c r="D3520" s="2" t="s">
        <v>16</v>
      </c>
      <c r="E3520" s="4">
        <f>487.74*(1-Z1%)</f>
        <v>487.74</v>
      </c>
      <c r="F3520" s="2">
        <v>2</v>
      </c>
      <c r="G3520" s="2"/>
    </row>
    <row r="3521" spans="1:26" customHeight="1" ht="35" hidden="true" outlineLevel="4">
      <c r="A3521" s="5" t="s">
        <v>6600</v>
      </c>
      <c r="B3521" s="5"/>
      <c r="C3521" s="5"/>
      <c r="D3521" s="5"/>
      <c r="E3521" s="5"/>
      <c r="F3521" s="5"/>
      <c r="G3521" s="5"/>
    </row>
    <row r="3522" spans="1:26" customHeight="1" ht="18" hidden="true" outlineLevel="4">
      <c r="A3522" s="2" t="s">
        <v>6601</v>
      </c>
      <c r="B3522" s="3" t="s">
        <v>6602</v>
      </c>
      <c r="C3522" s="2"/>
      <c r="D3522" s="2" t="s">
        <v>16</v>
      </c>
      <c r="E3522" s="4">
        <f>104.99*(1-Z1%)</f>
        <v>104.99</v>
      </c>
      <c r="F3522" s="2">
        <v>3</v>
      </c>
      <c r="G3522" s="2"/>
    </row>
    <row r="3523" spans="1:26" customHeight="1" ht="18" hidden="true" outlineLevel="4">
      <c r="A3523" s="2" t="s">
        <v>6603</v>
      </c>
      <c r="B3523" s="3" t="s">
        <v>6604</v>
      </c>
      <c r="C3523" s="2"/>
      <c r="D3523" s="2" t="s">
        <v>16</v>
      </c>
      <c r="E3523" s="4">
        <f>102.38*(1-Z1%)</f>
        <v>102.38</v>
      </c>
      <c r="F3523" s="2">
        <v>4</v>
      </c>
      <c r="G3523" s="2"/>
    </row>
    <row r="3524" spans="1:26" customHeight="1" ht="18" hidden="true" outlineLevel="4">
      <c r="A3524" s="2" t="s">
        <v>6605</v>
      </c>
      <c r="B3524" s="3" t="s">
        <v>6606</v>
      </c>
      <c r="C3524" s="2"/>
      <c r="D3524" s="2" t="s">
        <v>16</v>
      </c>
      <c r="E3524" s="4">
        <f>104.99*(1-Z1%)</f>
        <v>104.99</v>
      </c>
      <c r="F3524" s="2">
        <v>4</v>
      </c>
      <c r="G3524" s="2"/>
    </row>
    <row r="3525" spans="1:26" customHeight="1" ht="18" hidden="true" outlineLevel="4">
      <c r="A3525" s="2" t="s">
        <v>6607</v>
      </c>
      <c r="B3525" s="3" t="s">
        <v>6608</v>
      </c>
      <c r="C3525" s="2"/>
      <c r="D3525" s="2" t="s">
        <v>16</v>
      </c>
      <c r="E3525" s="4">
        <f>104.99*(1-Z1%)</f>
        <v>104.99</v>
      </c>
      <c r="F3525" s="2">
        <v>3</v>
      </c>
      <c r="G3525" s="2"/>
    </row>
    <row r="3526" spans="1:26" customHeight="1" ht="35" hidden="true" outlineLevel="4">
      <c r="A3526" s="5" t="s">
        <v>6609</v>
      </c>
      <c r="B3526" s="5"/>
      <c r="C3526" s="5"/>
      <c r="D3526" s="5"/>
      <c r="E3526" s="5"/>
      <c r="F3526" s="5"/>
      <c r="G3526" s="5"/>
    </row>
    <row r="3527" spans="1:26" customHeight="1" ht="18" hidden="true" outlineLevel="4">
      <c r="A3527" s="2" t="s">
        <v>6610</v>
      </c>
      <c r="B3527" s="3" t="s">
        <v>6611</v>
      </c>
      <c r="C3527" s="2"/>
      <c r="D3527" s="2" t="s">
        <v>16</v>
      </c>
      <c r="E3527" s="4">
        <f>9.96*(1-Z1%)</f>
        <v>9.96</v>
      </c>
      <c r="F3527" s="2">
        <v>9</v>
      </c>
      <c r="G3527" s="2"/>
    </row>
    <row r="3528" spans="1:26" customHeight="1" ht="18" hidden="true" outlineLevel="4">
      <c r="A3528" s="2" t="s">
        <v>6612</v>
      </c>
      <c r="B3528" s="3" t="s">
        <v>6613</v>
      </c>
      <c r="C3528" s="2"/>
      <c r="D3528" s="2" t="s">
        <v>16</v>
      </c>
      <c r="E3528" s="4">
        <f>9.96*(1-Z1%)</f>
        <v>9.96</v>
      </c>
      <c r="F3528" s="2">
        <v>10</v>
      </c>
      <c r="G3528" s="2"/>
    </row>
    <row r="3529" spans="1:26" customHeight="1" ht="18" hidden="true" outlineLevel="4">
      <c r="A3529" s="2" t="s">
        <v>6614</v>
      </c>
      <c r="B3529" s="3" t="s">
        <v>6615</v>
      </c>
      <c r="C3529" s="2"/>
      <c r="D3529" s="2" t="s">
        <v>16</v>
      </c>
      <c r="E3529" s="4">
        <f>9.96*(1-Z1%)</f>
        <v>9.96</v>
      </c>
      <c r="F3529" s="2">
        <v>10</v>
      </c>
      <c r="G3529" s="2"/>
    </row>
    <row r="3530" spans="1:26" customHeight="1" ht="35" hidden="true" outlineLevel="3">
      <c r="A3530" s="5" t="s">
        <v>6616</v>
      </c>
      <c r="B3530" s="5"/>
      <c r="C3530" s="5"/>
      <c r="D3530" s="5"/>
      <c r="E3530" s="5"/>
      <c r="F3530" s="5"/>
      <c r="G3530" s="5"/>
    </row>
    <row r="3531" spans="1:26" customHeight="1" ht="35" hidden="true" outlineLevel="4">
      <c r="A3531" s="5" t="s">
        <v>6617</v>
      </c>
      <c r="B3531" s="5"/>
      <c r="C3531" s="5"/>
      <c r="D3531" s="5"/>
      <c r="E3531" s="5"/>
      <c r="F3531" s="5"/>
      <c r="G3531" s="5"/>
    </row>
    <row r="3532" spans="1:26" customHeight="1" ht="18" hidden="true" outlineLevel="4">
      <c r="A3532" s="2" t="s">
        <v>6618</v>
      </c>
      <c r="B3532" s="3" t="s">
        <v>6619</v>
      </c>
      <c r="C3532" s="2"/>
      <c r="D3532" s="2" t="s">
        <v>16</v>
      </c>
      <c r="E3532" s="4">
        <f>430.34*(1-Z1%)</f>
        <v>430.34</v>
      </c>
      <c r="F3532" s="2">
        <v>2</v>
      </c>
      <c r="G3532" s="2"/>
    </row>
    <row r="3533" spans="1:26" customHeight="1" ht="18" hidden="true" outlineLevel="4">
      <c r="A3533" s="2" t="s">
        <v>6620</v>
      </c>
      <c r="B3533" s="3" t="s">
        <v>6621</v>
      </c>
      <c r="C3533" s="2"/>
      <c r="D3533" s="2" t="s">
        <v>16</v>
      </c>
      <c r="E3533" s="4">
        <f>440.86*(1-Z1%)</f>
        <v>440.86</v>
      </c>
      <c r="F3533" s="2">
        <v>3</v>
      </c>
      <c r="G3533" s="2"/>
    </row>
    <row r="3534" spans="1:26" customHeight="1" ht="18" hidden="true" outlineLevel="4">
      <c r="A3534" s="2" t="s">
        <v>6622</v>
      </c>
      <c r="B3534" s="3" t="s">
        <v>6623</v>
      </c>
      <c r="C3534" s="2"/>
      <c r="D3534" s="2" t="s">
        <v>16</v>
      </c>
      <c r="E3534" s="4">
        <f>67.01*(1-Z1%)</f>
        <v>67.01</v>
      </c>
      <c r="F3534" s="2">
        <v>7</v>
      </c>
      <c r="G3534" s="2"/>
    </row>
    <row r="3535" spans="1:26" customHeight="1" ht="18" hidden="true" outlineLevel="4">
      <c r="A3535" s="2" t="s">
        <v>6624</v>
      </c>
      <c r="B3535" s="3" t="s">
        <v>6625</v>
      </c>
      <c r="C3535" s="2"/>
      <c r="D3535" s="2" t="s">
        <v>16</v>
      </c>
      <c r="E3535" s="4">
        <f>376.88*(1-Z1%)</f>
        <v>376.88</v>
      </c>
      <c r="F3535" s="2">
        <v>2</v>
      </c>
      <c r="G3535" s="2"/>
    </row>
    <row r="3536" spans="1:26" customHeight="1" ht="18" hidden="true" outlineLevel="4">
      <c r="A3536" s="2" t="s">
        <v>6626</v>
      </c>
      <c r="B3536" s="3" t="s">
        <v>6627</v>
      </c>
      <c r="C3536" s="2"/>
      <c r="D3536" s="2" t="s">
        <v>16</v>
      </c>
      <c r="E3536" s="4">
        <f>421.88*(1-Z1%)</f>
        <v>421.88</v>
      </c>
      <c r="F3536" s="2">
        <v>5</v>
      </c>
      <c r="G3536" s="2"/>
    </row>
    <row r="3537" spans="1:26" customHeight="1" ht="18" hidden="true" outlineLevel="4">
      <c r="A3537" s="2" t="s">
        <v>6628</v>
      </c>
      <c r="B3537" s="3" t="s">
        <v>6629</v>
      </c>
      <c r="C3537" s="2"/>
      <c r="D3537" s="2" t="s">
        <v>16</v>
      </c>
      <c r="E3537" s="4">
        <f>185.63*(1-Z1%)</f>
        <v>185.63</v>
      </c>
      <c r="F3537" s="2">
        <v>3</v>
      </c>
      <c r="G3537" s="2"/>
    </row>
    <row r="3538" spans="1:26" customHeight="1" ht="18" hidden="true" outlineLevel="4">
      <c r="A3538" s="2" t="s">
        <v>6630</v>
      </c>
      <c r="B3538" s="3" t="s">
        <v>6631</v>
      </c>
      <c r="C3538" s="2"/>
      <c r="D3538" s="2" t="s">
        <v>16</v>
      </c>
      <c r="E3538" s="4">
        <f>144.63*(1-Z1%)</f>
        <v>144.63</v>
      </c>
      <c r="F3538" s="2">
        <v>8</v>
      </c>
      <c r="G3538" s="2"/>
    </row>
    <row r="3539" spans="1:26" customHeight="1" ht="18" hidden="true" outlineLevel="4">
      <c r="A3539" s="2" t="s">
        <v>6632</v>
      </c>
      <c r="B3539" s="3" t="s">
        <v>6633</v>
      </c>
      <c r="C3539" s="2"/>
      <c r="D3539" s="2" t="s">
        <v>16</v>
      </c>
      <c r="E3539" s="4">
        <f>173.25*(1-Z1%)</f>
        <v>173.25</v>
      </c>
      <c r="F3539" s="2">
        <v>5</v>
      </c>
      <c r="G3539" s="2"/>
    </row>
    <row r="3540" spans="1:26" customHeight="1" ht="18" hidden="true" outlineLevel="4">
      <c r="A3540" s="2" t="s">
        <v>6634</v>
      </c>
      <c r="B3540" s="3" t="s">
        <v>6635</v>
      </c>
      <c r="C3540" s="2"/>
      <c r="D3540" s="2" t="s">
        <v>16</v>
      </c>
      <c r="E3540" s="4">
        <f>255.19*(1-Z1%)</f>
        <v>255.19</v>
      </c>
      <c r="F3540" s="2">
        <v>6</v>
      </c>
      <c r="G3540" s="2"/>
    </row>
    <row r="3541" spans="1:26" customHeight="1" ht="18" hidden="true" outlineLevel="4">
      <c r="A3541" s="2" t="s">
        <v>6636</v>
      </c>
      <c r="B3541" s="3" t="s">
        <v>6637</v>
      </c>
      <c r="C3541" s="2"/>
      <c r="D3541" s="2" t="s">
        <v>16</v>
      </c>
      <c r="E3541" s="4">
        <f>202.21*(1-Z1%)</f>
        <v>202.21</v>
      </c>
      <c r="F3541" s="2">
        <v>1</v>
      </c>
      <c r="G3541" s="2"/>
    </row>
    <row r="3542" spans="1:26" customHeight="1" ht="18" hidden="true" outlineLevel="4">
      <c r="A3542" s="2" t="s">
        <v>6638</v>
      </c>
      <c r="B3542" s="3" t="s">
        <v>6639</v>
      </c>
      <c r="C3542" s="2"/>
      <c r="D3542" s="2" t="s">
        <v>16</v>
      </c>
      <c r="E3542" s="4">
        <f>443.26*(1-Z1%)</f>
        <v>443.26</v>
      </c>
      <c r="F3542" s="2">
        <v>2</v>
      </c>
      <c r="G3542" s="2"/>
    </row>
    <row r="3543" spans="1:26" customHeight="1" ht="36" hidden="true" outlineLevel="4">
      <c r="A3543" s="2" t="s">
        <v>6640</v>
      </c>
      <c r="B3543" s="3" t="s">
        <v>6641</v>
      </c>
      <c r="C3543" s="2"/>
      <c r="D3543" s="2" t="s">
        <v>16</v>
      </c>
      <c r="E3543" s="4">
        <f>176.64*(1-Z1%)</f>
        <v>176.64</v>
      </c>
      <c r="F3543" s="2">
        <v>1</v>
      </c>
      <c r="G3543" s="2"/>
    </row>
    <row r="3544" spans="1:26" customHeight="1" ht="36" hidden="true" outlineLevel="4">
      <c r="A3544" s="2" t="s">
        <v>6642</v>
      </c>
      <c r="B3544" s="3" t="s">
        <v>6643</v>
      </c>
      <c r="C3544" s="2"/>
      <c r="D3544" s="2" t="s">
        <v>16</v>
      </c>
      <c r="E3544" s="4">
        <f>326.50*(1-Z1%)</f>
        <v>326.5</v>
      </c>
      <c r="F3544" s="2">
        <v>1</v>
      </c>
      <c r="G3544" s="2"/>
    </row>
    <row r="3545" spans="1:26" customHeight="1" ht="35" hidden="true" outlineLevel="4">
      <c r="A3545" s="5" t="s">
        <v>6644</v>
      </c>
      <c r="B3545" s="5"/>
      <c r="C3545" s="5"/>
      <c r="D3545" s="5"/>
      <c r="E3545" s="5"/>
      <c r="F3545" s="5"/>
      <c r="G3545" s="5"/>
    </row>
    <row r="3546" spans="1:26" customHeight="1" ht="18" hidden="true" outlineLevel="4">
      <c r="A3546" s="2" t="s">
        <v>6645</v>
      </c>
      <c r="B3546" s="3" t="s">
        <v>6646</v>
      </c>
      <c r="C3546" s="2"/>
      <c r="D3546" s="2" t="s">
        <v>16</v>
      </c>
      <c r="E3546" s="4">
        <f>303.89*(1-Z1%)</f>
        <v>303.89</v>
      </c>
      <c r="F3546" s="2">
        <v>3</v>
      </c>
      <c r="G3546" s="2"/>
    </row>
    <row r="3547" spans="1:26" customHeight="1" ht="18" hidden="true" outlineLevel="4">
      <c r="A3547" s="2" t="s">
        <v>6647</v>
      </c>
      <c r="B3547" s="3" t="s">
        <v>6648</v>
      </c>
      <c r="C3547" s="2"/>
      <c r="D3547" s="2" t="s">
        <v>16</v>
      </c>
      <c r="E3547" s="4">
        <f>309.19*(1-Z1%)</f>
        <v>309.19</v>
      </c>
      <c r="F3547" s="2">
        <v>3</v>
      </c>
      <c r="G3547" s="2"/>
    </row>
    <row r="3548" spans="1:26" customHeight="1" ht="35" hidden="true" outlineLevel="4">
      <c r="A3548" s="5" t="s">
        <v>6649</v>
      </c>
      <c r="B3548" s="5"/>
      <c r="C3548" s="5"/>
      <c r="D3548" s="5"/>
      <c r="E3548" s="5"/>
      <c r="F3548" s="5"/>
      <c r="G3548" s="5"/>
    </row>
    <row r="3549" spans="1:26" customHeight="1" ht="18" hidden="true" outlineLevel="4">
      <c r="A3549" s="2" t="s">
        <v>6650</v>
      </c>
      <c r="B3549" s="3" t="s">
        <v>6651</v>
      </c>
      <c r="C3549" s="2"/>
      <c r="D3549" s="2" t="s">
        <v>16</v>
      </c>
      <c r="E3549" s="4">
        <f>173.18*(1-Z1%)</f>
        <v>173.18</v>
      </c>
      <c r="F3549" s="2">
        <v>1</v>
      </c>
      <c r="G3549" s="2"/>
    </row>
    <row r="3550" spans="1:26" customHeight="1" ht="18" hidden="true" outlineLevel="4">
      <c r="A3550" s="2" t="s">
        <v>6652</v>
      </c>
      <c r="B3550" s="3" t="s">
        <v>6653</v>
      </c>
      <c r="C3550" s="2"/>
      <c r="D3550" s="2" t="s">
        <v>16</v>
      </c>
      <c r="E3550" s="4">
        <f>208.40*(1-Z1%)</f>
        <v>208.4</v>
      </c>
      <c r="F3550" s="2">
        <v>1</v>
      </c>
      <c r="G3550" s="2"/>
    </row>
    <row r="3551" spans="1:26" customHeight="1" ht="18" hidden="true" outlineLevel="4">
      <c r="A3551" s="2" t="s">
        <v>6654</v>
      </c>
      <c r="B3551" s="3" t="s">
        <v>6655</v>
      </c>
      <c r="C3551" s="2"/>
      <c r="D3551" s="2" t="s">
        <v>16</v>
      </c>
      <c r="E3551" s="4">
        <f>379.73*(1-Z1%)</f>
        <v>379.73</v>
      </c>
      <c r="F3551" s="2">
        <v>1</v>
      </c>
      <c r="G3551" s="2"/>
    </row>
    <row r="3552" spans="1:26" customHeight="1" ht="35" hidden="true" outlineLevel="4">
      <c r="A3552" s="5" t="s">
        <v>6656</v>
      </c>
      <c r="B3552" s="5"/>
      <c r="C3552" s="5"/>
      <c r="D3552" s="5"/>
      <c r="E3552" s="5"/>
      <c r="F3552" s="5"/>
      <c r="G3552" s="5"/>
    </row>
    <row r="3553" spans="1:26" customHeight="1" ht="18" hidden="true" outlineLevel="4">
      <c r="A3553" s="2" t="s">
        <v>6657</v>
      </c>
      <c r="B3553" s="3" t="s">
        <v>6658</v>
      </c>
      <c r="C3553" s="2"/>
      <c r="D3553" s="2" t="s">
        <v>16</v>
      </c>
      <c r="E3553" s="4">
        <f>372.92*(1-Z1%)</f>
        <v>372.92</v>
      </c>
      <c r="F3553" s="2">
        <v>3</v>
      </c>
      <c r="G3553" s="2"/>
    </row>
    <row r="3554" spans="1:26" customHeight="1" ht="36" hidden="true" outlineLevel="4">
      <c r="A3554" s="2" t="s">
        <v>6659</v>
      </c>
      <c r="B3554" s="3" t="s">
        <v>6660</v>
      </c>
      <c r="C3554" s="2"/>
      <c r="D3554" s="2" t="s">
        <v>16</v>
      </c>
      <c r="E3554" s="4">
        <f>356.44*(1-Z1%)</f>
        <v>356.44</v>
      </c>
      <c r="F3554" s="2">
        <v>2</v>
      </c>
      <c r="G3554" s="2"/>
    </row>
    <row r="3555" spans="1:26" customHeight="1" ht="18" hidden="true" outlineLevel="4">
      <c r="A3555" s="2" t="s">
        <v>6661</v>
      </c>
      <c r="B3555" s="3" t="s">
        <v>6662</v>
      </c>
      <c r="C3555" s="2"/>
      <c r="D3555" s="2" t="s">
        <v>16</v>
      </c>
      <c r="E3555" s="4">
        <f>262.16*(1-Z1%)</f>
        <v>262.16</v>
      </c>
      <c r="F3555" s="2">
        <v>2</v>
      </c>
      <c r="G3555" s="2"/>
    </row>
    <row r="3556" spans="1:26" customHeight="1" ht="36" hidden="true" outlineLevel="4">
      <c r="A3556" s="2" t="s">
        <v>6663</v>
      </c>
      <c r="B3556" s="3" t="s">
        <v>6664</v>
      </c>
      <c r="C3556" s="2"/>
      <c r="D3556" s="2" t="s">
        <v>16</v>
      </c>
      <c r="E3556" s="4">
        <f>279.80*(1-Z1%)</f>
        <v>279.8</v>
      </c>
      <c r="F3556" s="2">
        <v>1</v>
      </c>
      <c r="G3556" s="2"/>
    </row>
    <row r="3557" spans="1:26" customHeight="1" ht="18" hidden="true" outlineLevel="4">
      <c r="A3557" s="2" t="s">
        <v>6665</v>
      </c>
      <c r="B3557" s="3" t="s">
        <v>6666</v>
      </c>
      <c r="C3557" s="2"/>
      <c r="D3557" s="2" t="s">
        <v>16</v>
      </c>
      <c r="E3557" s="4">
        <f>313.89*(1-Z1%)</f>
        <v>313.89</v>
      </c>
      <c r="F3557" s="2">
        <v>1</v>
      </c>
      <c r="G3557" s="2"/>
    </row>
    <row r="3558" spans="1:26" customHeight="1" ht="36" hidden="true" outlineLevel="4">
      <c r="A3558" s="2" t="s">
        <v>6667</v>
      </c>
      <c r="B3558" s="3" t="s">
        <v>6668</v>
      </c>
      <c r="C3558" s="2"/>
      <c r="D3558" s="2" t="s">
        <v>16</v>
      </c>
      <c r="E3558" s="4">
        <f>255.65*(1-Z1%)</f>
        <v>255.65</v>
      </c>
      <c r="F3558" s="2">
        <v>2</v>
      </c>
      <c r="G3558" s="2"/>
    </row>
    <row r="3559" spans="1:26" customHeight="1" ht="36" hidden="true" outlineLevel="4">
      <c r="A3559" s="2" t="s">
        <v>6669</v>
      </c>
      <c r="B3559" s="3" t="s">
        <v>6670</v>
      </c>
      <c r="C3559" s="2"/>
      <c r="D3559" s="2" t="s">
        <v>16</v>
      </c>
      <c r="E3559" s="4">
        <f>313.89*(1-Z1%)</f>
        <v>313.89</v>
      </c>
      <c r="F3559" s="2">
        <v>3</v>
      </c>
      <c r="G3559" s="2"/>
    </row>
    <row r="3560" spans="1:26" customHeight="1" ht="36" hidden="true" outlineLevel="4">
      <c r="A3560" s="2" t="s">
        <v>6671</v>
      </c>
      <c r="B3560" s="3" t="s">
        <v>6672</v>
      </c>
      <c r="C3560" s="2"/>
      <c r="D3560" s="2" t="s">
        <v>16</v>
      </c>
      <c r="E3560" s="4">
        <f>395.77*(1-Z1%)</f>
        <v>395.77</v>
      </c>
      <c r="F3560" s="2">
        <v>5</v>
      </c>
      <c r="G3560" s="2"/>
    </row>
    <row r="3561" spans="1:26" customHeight="1" ht="35" hidden="true" outlineLevel="4">
      <c r="A3561" s="5" t="s">
        <v>6673</v>
      </c>
      <c r="B3561" s="5"/>
      <c r="C3561" s="5"/>
      <c r="D3561" s="5"/>
      <c r="E3561" s="5"/>
      <c r="F3561" s="5"/>
      <c r="G3561" s="5"/>
    </row>
    <row r="3562" spans="1:26" customHeight="1" ht="18" hidden="true" outlineLevel="4">
      <c r="A3562" s="2" t="s">
        <v>6674</v>
      </c>
      <c r="B3562" s="3" t="s">
        <v>6675</v>
      </c>
      <c r="C3562" s="2"/>
      <c r="D3562" s="2" t="s">
        <v>16</v>
      </c>
      <c r="E3562" s="4">
        <f>210.73*(1-Z1%)</f>
        <v>210.73</v>
      </c>
      <c r="F3562" s="2">
        <v>2</v>
      </c>
      <c r="G3562" s="2"/>
    </row>
    <row r="3563" spans="1:26" customHeight="1" ht="18" hidden="true" outlineLevel="4">
      <c r="A3563" s="2" t="s">
        <v>6676</v>
      </c>
      <c r="B3563" s="3" t="s">
        <v>6677</v>
      </c>
      <c r="C3563" s="2"/>
      <c r="D3563" s="2" t="s">
        <v>16</v>
      </c>
      <c r="E3563" s="4">
        <f>222.19*(1-Z1%)</f>
        <v>222.19</v>
      </c>
      <c r="F3563" s="2">
        <v>1</v>
      </c>
      <c r="G3563" s="2"/>
    </row>
    <row r="3564" spans="1:26" customHeight="1" ht="35" hidden="true" outlineLevel="4">
      <c r="A3564" s="5" t="s">
        <v>6678</v>
      </c>
      <c r="B3564" s="5"/>
      <c r="C3564" s="5"/>
      <c r="D3564" s="5"/>
      <c r="E3564" s="5"/>
      <c r="F3564" s="5"/>
      <c r="G3564" s="5"/>
    </row>
    <row r="3565" spans="1:26" customHeight="1" ht="18" hidden="true" outlineLevel="4">
      <c r="A3565" s="2" t="s">
        <v>6679</v>
      </c>
      <c r="B3565" s="3" t="s">
        <v>6680</v>
      </c>
      <c r="C3565" s="2"/>
      <c r="D3565" s="2" t="s">
        <v>16</v>
      </c>
      <c r="E3565" s="4">
        <f>266.29*(1-Z1%)</f>
        <v>266.29</v>
      </c>
      <c r="F3565" s="2">
        <v>2</v>
      </c>
      <c r="G3565" s="2"/>
    </row>
    <row r="3566" spans="1:26" customHeight="1" ht="18" hidden="true" outlineLevel="4">
      <c r="A3566" s="2" t="s">
        <v>6681</v>
      </c>
      <c r="B3566" s="3" t="s">
        <v>6682</v>
      </c>
      <c r="C3566" s="2"/>
      <c r="D3566" s="2" t="s">
        <v>16</v>
      </c>
      <c r="E3566" s="4">
        <f>302.74*(1-Z1%)</f>
        <v>302.74</v>
      </c>
      <c r="F3566" s="2">
        <v>2</v>
      </c>
      <c r="G3566" s="2"/>
    </row>
    <row r="3567" spans="1:26" customHeight="1" ht="18" hidden="true" outlineLevel="4">
      <c r="A3567" s="2" t="s">
        <v>6683</v>
      </c>
      <c r="B3567" s="3" t="s">
        <v>6684</v>
      </c>
      <c r="C3567" s="2"/>
      <c r="D3567" s="2" t="s">
        <v>16</v>
      </c>
      <c r="E3567" s="4">
        <f>350.33*(1-Z1%)</f>
        <v>350.33</v>
      </c>
      <c r="F3567" s="2">
        <v>2</v>
      </c>
      <c r="G3567" s="2"/>
    </row>
    <row r="3568" spans="1:26" customHeight="1" ht="36" hidden="true" outlineLevel="4">
      <c r="A3568" s="2" t="s">
        <v>6685</v>
      </c>
      <c r="B3568" s="3" t="s">
        <v>6686</v>
      </c>
      <c r="C3568" s="2"/>
      <c r="D3568" s="2" t="s">
        <v>16</v>
      </c>
      <c r="E3568" s="4">
        <f>336.21*(1-Z1%)</f>
        <v>336.21</v>
      </c>
      <c r="F3568" s="2">
        <v>1</v>
      </c>
      <c r="G3568" s="2"/>
    </row>
    <row r="3569" spans="1:26" customHeight="1" ht="36" hidden="true" outlineLevel="4">
      <c r="A3569" s="2" t="s">
        <v>6687</v>
      </c>
      <c r="B3569" s="3" t="s">
        <v>6688</v>
      </c>
      <c r="C3569" s="2"/>
      <c r="D3569" s="2" t="s">
        <v>16</v>
      </c>
      <c r="E3569" s="4">
        <f>440.86*(1-Z1%)</f>
        <v>440.86</v>
      </c>
      <c r="F3569" s="2">
        <v>3</v>
      </c>
      <c r="G3569" s="2"/>
    </row>
    <row r="3570" spans="1:26" customHeight="1" ht="36" hidden="true" outlineLevel="4">
      <c r="A3570" s="2" t="s">
        <v>6689</v>
      </c>
      <c r="B3570" s="3" t="s">
        <v>6690</v>
      </c>
      <c r="C3570" s="2"/>
      <c r="D3570" s="2" t="s">
        <v>16</v>
      </c>
      <c r="E3570" s="4">
        <f>491.42*(1-Z1%)</f>
        <v>491.42</v>
      </c>
      <c r="F3570" s="2">
        <v>5</v>
      </c>
      <c r="G3570" s="2"/>
    </row>
    <row r="3571" spans="1:26" customHeight="1" ht="36" hidden="true" outlineLevel="4">
      <c r="A3571" s="2" t="s">
        <v>6691</v>
      </c>
      <c r="B3571" s="3" t="s">
        <v>6692</v>
      </c>
      <c r="C3571" s="2"/>
      <c r="D3571" s="2" t="s">
        <v>16</v>
      </c>
      <c r="E3571" s="4">
        <f>267.30*(1-Z1%)</f>
        <v>267.3</v>
      </c>
      <c r="F3571" s="2">
        <v>1</v>
      </c>
      <c r="G3571" s="2"/>
    </row>
    <row r="3572" spans="1:26" customHeight="1" ht="35" hidden="true" outlineLevel="4">
      <c r="A3572" s="5" t="s">
        <v>6693</v>
      </c>
      <c r="B3572" s="5"/>
      <c r="C3572" s="5"/>
      <c r="D3572" s="5"/>
      <c r="E3572" s="5"/>
      <c r="F3572" s="5"/>
      <c r="G3572" s="5"/>
    </row>
    <row r="3573" spans="1:26" customHeight="1" ht="36" hidden="true" outlineLevel="4">
      <c r="A3573" s="2" t="s">
        <v>6694</v>
      </c>
      <c r="B3573" s="3" t="s">
        <v>6695</v>
      </c>
      <c r="C3573" s="2"/>
      <c r="D3573" s="2" t="s">
        <v>16</v>
      </c>
      <c r="E3573" s="4">
        <f>166.90*(1-Z1%)</f>
        <v>166.9</v>
      </c>
      <c r="F3573" s="2">
        <v>3</v>
      </c>
      <c r="G3573" s="2"/>
    </row>
    <row r="3574" spans="1:26" customHeight="1" ht="36" hidden="true" outlineLevel="4">
      <c r="A3574" s="2" t="s">
        <v>6696</v>
      </c>
      <c r="B3574" s="3" t="s">
        <v>6697</v>
      </c>
      <c r="C3574" s="2"/>
      <c r="D3574" s="2" t="s">
        <v>16</v>
      </c>
      <c r="E3574" s="4">
        <f>166.90*(1-Z1%)</f>
        <v>166.9</v>
      </c>
      <c r="F3574" s="2">
        <v>1</v>
      </c>
      <c r="G3574" s="2"/>
    </row>
    <row r="3575" spans="1:26" customHeight="1" ht="36" hidden="true" outlineLevel="4">
      <c r="A3575" s="2" t="s">
        <v>6698</v>
      </c>
      <c r="B3575" s="3" t="s">
        <v>6699</v>
      </c>
      <c r="C3575" s="2"/>
      <c r="D3575" s="2" t="s">
        <v>16</v>
      </c>
      <c r="E3575" s="4">
        <f>166.90*(1-Z1%)</f>
        <v>166.9</v>
      </c>
      <c r="F3575" s="2">
        <v>3</v>
      </c>
      <c r="G3575" s="2"/>
    </row>
    <row r="3576" spans="1:26" customHeight="1" ht="36" hidden="true" outlineLevel="4">
      <c r="A3576" s="2" t="s">
        <v>6700</v>
      </c>
      <c r="B3576" s="3" t="s">
        <v>6701</v>
      </c>
      <c r="C3576" s="2"/>
      <c r="D3576" s="2" t="s">
        <v>16</v>
      </c>
      <c r="E3576" s="4">
        <f>166.90*(1-Z1%)</f>
        <v>166.9</v>
      </c>
      <c r="F3576" s="2">
        <v>3</v>
      </c>
      <c r="G3576" s="2"/>
    </row>
    <row r="3577" spans="1:26" customHeight="1" ht="35" hidden="true" outlineLevel="4">
      <c r="A3577" s="5" t="s">
        <v>6702</v>
      </c>
      <c r="B3577" s="5"/>
      <c r="C3577" s="5"/>
      <c r="D3577" s="5"/>
      <c r="E3577" s="5"/>
      <c r="F3577" s="5"/>
      <c r="G3577" s="5"/>
    </row>
    <row r="3578" spans="1:26" customHeight="1" ht="36" hidden="true" outlineLevel="4">
      <c r="A3578" s="2" t="s">
        <v>6703</v>
      </c>
      <c r="B3578" s="3" t="s">
        <v>6704</v>
      </c>
      <c r="C3578" s="2"/>
      <c r="D3578" s="2" t="s">
        <v>16</v>
      </c>
      <c r="E3578" s="4">
        <f>67.01*(1-Z1%)</f>
        <v>67.01</v>
      </c>
      <c r="F3578" s="2">
        <v>6</v>
      </c>
      <c r="G3578" s="2"/>
    </row>
    <row r="3579" spans="1:26" customHeight="1" ht="36" hidden="true" outlineLevel="4">
      <c r="A3579" s="2" t="s">
        <v>6705</v>
      </c>
      <c r="B3579" s="3" t="s">
        <v>6706</v>
      </c>
      <c r="C3579" s="2"/>
      <c r="D3579" s="2" t="s">
        <v>16</v>
      </c>
      <c r="E3579" s="4">
        <f>439.69*(1-Z1%)</f>
        <v>439.69</v>
      </c>
      <c r="F3579" s="2">
        <v>1</v>
      </c>
      <c r="G3579" s="2"/>
    </row>
    <row r="3580" spans="1:26" customHeight="1" ht="18" hidden="true" outlineLevel="4">
      <c r="A3580" s="2" t="s">
        <v>6707</v>
      </c>
      <c r="B3580" s="3" t="s">
        <v>6708</v>
      </c>
      <c r="C3580" s="2"/>
      <c r="D3580" s="2" t="s">
        <v>16</v>
      </c>
      <c r="E3580" s="4">
        <f>320.63*(1-Z1%)</f>
        <v>320.63</v>
      </c>
      <c r="F3580" s="2">
        <v>3</v>
      </c>
      <c r="G3580" s="2"/>
    </row>
    <row r="3581" spans="1:26" customHeight="1" ht="18" hidden="true" outlineLevel="4">
      <c r="A3581" s="2" t="s">
        <v>6709</v>
      </c>
      <c r="B3581" s="3" t="s">
        <v>6710</v>
      </c>
      <c r="C3581" s="2"/>
      <c r="D3581" s="2" t="s">
        <v>16</v>
      </c>
      <c r="E3581" s="4">
        <f>256.50*(1-Z1%)</f>
        <v>256.5</v>
      </c>
      <c r="F3581" s="2">
        <v>5</v>
      </c>
      <c r="G3581" s="2"/>
    </row>
    <row r="3582" spans="1:26" customHeight="1" ht="18" hidden="true" outlineLevel="4">
      <c r="A3582" s="2" t="s">
        <v>6711</v>
      </c>
      <c r="B3582" s="3" t="s">
        <v>6712</v>
      </c>
      <c r="C3582" s="2"/>
      <c r="D3582" s="2" t="s">
        <v>16</v>
      </c>
      <c r="E3582" s="4">
        <f>289.63*(1-Z1%)</f>
        <v>289.63</v>
      </c>
      <c r="F3582" s="2">
        <v>8</v>
      </c>
      <c r="G3582" s="2"/>
    </row>
    <row r="3583" spans="1:26" customHeight="1" ht="18" hidden="true" outlineLevel="4">
      <c r="A3583" s="2" t="s">
        <v>6713</v>
      </c>
      <c r="B3583" s="3" t="s">
        <v>6714</v>
      </c>
      <c r="C3583" s="2"/>
      <c r="D3583" s="2" t="s">
        <v>16</v>
      </c>
      <c r="E3583" s="4">
        <f>311.85*(1-Z1%)</f>
        <v>311.85</v>
      </c>
      <c r="F3583" s="2">
        <v>2</v>
      </c>
      <c r="G3583" s="2"/>
    </row>
    <row r="3584" spans="1:26" customHeight="1" ht="18" hidden="true" outlineLevel="4">
      <c r="A3584" s="2" t="s">
        <v>6715</v>
      </c>
      <c r="B3584" s="3" t="s">
        <v>6716</v>
      </c>
      <c r="C3584" s="2"/>
      <c r="D3584" s="2" t="s">
        <v>16</v>
      </c>
      <c r="E3584" s="4">
        <f>286.88*(1-Z1%)</f>
        <v>286.88</v>
      </c>
      <c r="F3584" s="2">
        <v>1</v>
      </c>
      <c r="G3584" s="2"/>
    </row>
    <row r="3585" spans="1:26" customHeight="1" ht="18" hidden="true" outlineLevel="4">
      <c r="A3585" s="2" t="s">
        <v>6717</v>
      </c>
      <c r="B3585" s="3" t="s">
        <v>6718</v>
      </c>
      <c r="C3585" s="2"/>
      <c r="D3585" s="2" t="s">
        <v>16</v>
      </c>
      <c r="E3585" s="4">
        <f>252.23*(1-Z1%)</f>
        <v>252.23</v>
      </c>
      <c r="F3585" s="2">
        <v>1</v>
      </c>
      <c r="G3585" s="2"/>
    </row>
    <row r="3586" spans="1:26" customHeight="1" ht="18" hidden="true" outlineLevel="4">
      <c r="A3586" s="2" t="s">
        <v>6719</v>
      </c>
      <c r="B3586" s="3" t="s">
        <v>6720</v>
      </c>
      <c r="C3586" s="2"/>
      <c r="D3586" s="2" t="s">
        <v>16</v>
      </c>
      <c r="E3586" s="4">
        <f>277.88*(1-Z1%)</f>
        <v>277.88</v>
      </c>
      <c r="F3586" s="2">
        <v>2</v>
      </c>
      <c r="G3586" s="2"/>
    </row>
    <row r="3587" spans="1:26" customHeight="1" ht="18" hidden="true" outlineLevel="4">
      <c r="A3587" s="2" t="s">
        <v>6721</v>
      </c>
      <c r="B3587" s="3" t="s">
        <v>6722</v>
      </c>
      <c r="C3587" s="2"/>
      <c r="D3587" s="2" t="s">
        <v>16</v>
      </c>
      <c r="E3587" s="4">
        <f>367.88*(1-Z1%)</f>
        <v>367.88</v>
      </c>
      <c r="F3587" s="2">
        <v>3</v>
      </c>
      <c r="G3587" s="2"/>
    </row>
    <row r="3588" spans="1:26" customHeight="1" ht="18" hidden="true" outlineLevel="4">
      <c r="A3588" s="2" t="s">
        <v>6723</v>
      </c>
      <c r="B3588" s="3" t="s">
        <v>6724</v>
      </c>
      <c r="C3588" s="2"/>
      <c r="D3588" s="2" t="s">
        <v>16</v>
      </c>
      <c r="E3588" s="4">
        <f>299.25*(1-Z1%)</f>
        <v>299.25</v>
      </c>
      <c r="F3588" s="2">
        <v>3</v>
      </c>
      <c r="G3588" s="2"/>
    </row>
    <row r="3589" spans="1:26" customHeight="1" ht="18" hidden="true" outlineLevel="4">
      <c r="A3589" s="2" t="s">
        <v>6725</v>
      </c>
      <c r="B3589" s="3" t="s">
        <v>6726</v>
      </c>
      <c r="C3589" s="2"/>
      <c r="D3589" s="2" t="s">
        <v>16</v>
      </c>
      <c r="E3589" s="4">
        <f>239.68*(1-Z1%)</f>
        <v>239.68</v>
      </c>
      <c r="F3589" s="2">
        <v>1</v>
      </c>
      <c r="G3589" s="2"/>
    </row>
    <row r="3590" spans="1:26" customHeight="1" ht="18" hidden="true" outlineLevel="4">
      <c r="A3590" s="2" t="s">
        <v>6727</v>
      </c>
      <c r="B3590" s="3" t="s">
        <v>6728</v>
      </c>
      <c r="C3590" s="2"/>
      <c r="D3590" s="2" t="s">
        <v>16</v>
      </c>
      <c r="E3590" s="4">
        <f>268.61*(1-Z1%)</f>
        <v>268.61</v>
      </c>
      <c r="F3590" s="2">
        <v>3</v>
      </c>
      <c r="G3590" s="2"/>
    </row>
    <row r="3591" spans="1:26" customHeight="1" ht="35" hidden="true" outlineLevel="3">
      <c r="A3591" s="5" t="s">
        <v>6729</v>
      </c>
      <c r="B3591" s="5"/>
      <c r="C3591" s="5"/>
      <c r="D3591" s="5"/>
      <c r="E3591" s="5"/>
      <c r="F3591" s="5"/>
      <c r="G3591" s="5"/>
    </row>
    <row r="3592" spans="1:26" customHeight="1" ht="35" hidden="true" outlineLevel="4">
      <c r="A3592" s="5" t="s">
        <v>6730</v>
      </c>
      <c r="B3592" s="5"/>
      <c r="C3592" s="5"/>
      <c r="D3592" s="5"/>
      <c r="E3592" s="5"/>
      <c r="F3592" s="5"/>
      <c r="G3592" s="5"/>
    </row>
    <row r="3593" spans="1:26" customHeight="1" ht="36" hidden="true" outlineLevel="4">
      <c r="A3593" s="2" t="s">
        <v>6731</v>
      </c>
      <c r="B3593" s="3" t="s">
        <v>6732</v>
      </c>
      <c r="C3593" s="2"/>
      <c r="D3593" s="2" t="s">
        <v>16</v>
      </c>
      <c r="E3593" s="4">
        <f>144.60*(1-Z1%)</f>
        <v>144.6</v>
      </c>
      <c r="F3593" s="2">
        <v>1</v>
      </c>
      <c r="G3593" s="2"/>
    </row>
    <row r="3594" spans="1:26" customHeight="1" ht="36" hidden="true" outlineLevel="4">
      <c r="A3594" s="2" t="s">
        <v>6733</v>
      </c>
      <c r="B3594" s="3" t="s">
        <v>6734</v>
      </c>
      <c r="C3594" s="2"/>
      <c r="D3594" s="2" t="s">
        <v>16</v>
      </c>
      <c r="E3594" s="4">
        <f>131.67*(1-Z1%)</f>
        <v>131.67</v>
      </c>
      <c r="F3594" s="2">
        <v>1</v>
      </c>
      <c r="G3594" s="2"/>
    </row>
    <row r="3595" spans="1:26" customHeight="1" ht="18" hidden="true" outlineLevel="4">
      <c r="A3595" s="2" t="s">
        <v>6735</v>
      </c>
      <c r="B3595" s="3" t="s">
        <v>6736</v>
      </c>
      <c r="C3595" s="2"/>
      <c r="D3595" s="2" t="s">
        <v>16</v>
      </c>
      <c r="E3595" s="4">
        <f>89.66*(1-Z1%)</f>
        <v>89.66</v>
      </c>
      <c r="F3595" s="2">
        <v>9</v>
      </c>
      <c r="G3595" s="2"/>
    </row>
    <row r="3596" spans="1:26" customHeight="1" ht="35" hidden="true" outlineLevel="4">
      <c r="A3596" s="5" t="s">
        <v>6737</v>
      </c>
      <c r="B3596" s="5"/>
      <c r="C3596" s="5"/>
      <c r="D3596" s="5"/>
      <c r="E3596" s="5"/>
      <c r="F3596" s="5"/>
      <c r="G3596" s="5"/>
    </row>
    <row r="3597" spans="1:26" customHeight="1" ht="18" hidden="true" outlineLevel="4">
      <c r="A3597" s="2" t="s">
        <v>6738</v>
      </c>
      <c r="B3597" s="3" t="s">
        <v>6739</v>
      </c>
      <c r="C3597" s="2"/>
      <c r="D3597" s="2" t="s">
        <v>16</v>
      </c>
      <c r="E3597" s="4">
        <f>187.47*(1-Z1%)</f>
        <v>187.47</v>
      </c>
      <c r="F3597" s="2">
        <v>1</v>
      </c>
      <c r="G3597" s="2"/>
    </row>
    <row r="3598" spans="1:26" customHeight="1" ht="18" hidden="true" outlineLevel="4">
      <c r="A3598" s="2" t="s">
        <v>6740</v>
      </c>
      <c r="B3598" s="3" t="s">
        <v>6741</v>
      </c>
      <c r="C3598" s="2"/>
      <c r="D3598" s="2" t="s">
        <v>16</v>
      </c>
      <c r="E3598" s="4">
        <f>65.14*(1-Z1%)</f>
        <v>65.14</v>
      </c>
      <c r="F3598" s="2">
        <v>3</v>
      </c>
      <c r="G3598" s="2"/>
    </row>
    <row r="3599" spans="1:26" customHeight="1" ht="18" hidden="true" outlineLevel="4">
      <c r="A3599" s="2" t="s">
        <v>6742</v>
      </c>
      <c r="B3599" s="3" t="s">
        <v>6743</v>
      </c>
      <c r="C3599" s="2"/>
      <c r="D3599" s="2" t="s">
        <v>16</v>
      </c>
      <c r="E3599" s="4">
        <f>106.93*(1-Z1%)</f>
        <v>106.93</v>
      </c>
      <c r="F3599" s="2">
        <v>2</v>
      </c>
      <c r="G3599" s="2"/>
    </row>
    <row r="3600" spans="1:26" customHeight="1" ht="18" hidden="true" outlineLevel="4">
      <c r="A3600" s="2" t="s">
        <v>6744</v>
      </c>
      <c r="B3600" s="3" t="s">
        <v>6745</v>
      </c>
      <c r="C3600" s="2"/>
      <c r="D3600" s="2" t="s">
        <v>16</v>
      </c>
      <c r="E3600" s="4">
        <f>44.24*(1-Z1%)</f>
        <v>44.24</v>
      </c>
      <c r="F3600" s="2">
        <v>2</v>
      </c>
      <c r="G3600" s="2"/>
    </row>
    <row r="3601" spans="1:26" customHeight="1" ht="18" hidden="true" outlineLevel="4">
      <c r="A3601" s="2" t="s">
        <v>6746</v>
      </c>
      <c r="B3601" s="3" t="s">
        <v>6747</v>
      </c>
      <c r="C3601" s="2"/>
      <c r="D3601" s="2" t="s">
        <v>16</v>
      </c>
      <c r="E3601" s="4">
        <f>373.98*(1-Z1%)</f>
        <v>373.98</v>
      </c>
      <c r="F3601" s="2">
        <v>2</v>
      </c>
      <c r="G3601" s="2"/>
    </row>
    <row r="3602" spans="1:26" customHeight="1" ht="36" hidden="true" outlineLevel="4">
      <c r="A3602" s="2" t="s">
        <v>6748</v>
      </c>
      <c r="B3602" s="3" t="s">
        <v>6749</v>
      </c>
      <c r="C3602" s="2"/>
      <c r="D3602" s="2" t="s">
        <v>16</v>
      </c>
      <c r="E3602" s="4">
        <f>739.47*(1-Z1%)</f>
        <v>739.47</v>
      </c>
      <c r="F3602" s="2">
        <v>3</v>
      </c>
      <c r="G3602" s="2"/>
    </row>
    <row r="3603" spans="1:26" customHeight="1" ht="36" hidden="true" outlineLevel="4">
      <c r="A3603" s="2" t="s">
        <v>6750</v>
      </c>
      <c r="B3603" s="3" t="s">
        <v>6751</v>
      </c>
      <c r="C3603" s="2"/>
      <c r="D3603" s="2" t="s">
        <v>16</v>
      </c>
      <c r="E3603" s="4">
        <f>730.07*(1-Z1%)</f>
        <v>730.07</v>
      </c>
      <c r="F3603" s="2">
        <v>1</v>
      </c>
      <c r="G3603" s="2"/>
    </row>
    <row r="3604" spans="1:26" customHeight="1" ht="36" hidden="true" outlineLevel="4">
      <c r="A3604" s="2" t="s">
        <v>6752</v>
      </c>
      <c r="B3604" s="3" t="s">
        <v>6753</v>
      </c>
      <c r="C3604" s="2"/>
      <c r="D3604" s="2" t="s">
        <v>16</v>
      </c>
      <c r="E3604" s="4">
        <f>210.44*(1-Z1%)</f>
        <v>210.44</v>
      </c>
      <c r="F3604" s="2">
        <v>3</v>
      </c>
      <c r="G3604" s="2"/>
    </row>
    <row r="3605" spans="1:26" customHeight="1" ht="36" hidden="true" outlineLevel="4">
      <c r="A3605" s="2" t="s">
        <v>6754</v>
      </c>
      <c r="B3605" s="3" t="s">
        <v>6755</v>
      </c>
      <c r="C3605" s="2"/>
      <c r="D3605" s="2" t="s">
        <v>16</v>
      </c>
      <c r="E3605" s="4">
        <f>403.18*(1-Z1%)</f>
        <v>403.18</v>
      </c>
      <c r="F3605" s="2">
        <v>5</v>
      </c>
      <c r="G3605" s="2"/>
    </row>
    <row r="3606" spans="1:26" customHeight="1" ht="18" hidden="true" outlineLevel="4">
      <c r="A3606" s="2" t="s">
        <v>6756</v>
      </c>
      <c r="B3606" s="3" t="s">
        <v>6757</v>
      </c>
      <c r="C3606" s="2"/>
      <c r="D3606" s="2" t="s">
        <v>16</v>
      </c>
      <c r="E3606" s="4">
        <f>133.66*(1-Z1%)</f>
        <v>133.66</v>
      </c>
      <c r="F3606" s="2">
        <v>10</v>
      </c>
      <c r="G3606" s="2"/>
    </row>
    <row r="3607" spans="1:26" customHeight="1" ht="36" hidden="true" outlineLevel="4">
      <c r="A3607" s="2" t="s">
        <v>6758</v>
      </c>
      <c r="B3607" s="3" t="s">
        <v>6759</v>
      </c>
      <c r="C3607" s="2"/>
      <c r="D3607" s="2" t="s">
        <v>16</v>
      </c>
      <c r="E3607" s="4">
        <f>189.29*(1-Z1%)</f>
        <v>189.29</v>
      </c>
      <c r="F3607" s="2">
        <v>2</v>
      </c>
      <c r="G3607" s="2"/>
    </row>
    <row r="3608" spans="1:26" customHeight="1" ht="18" hidden="true" outlineLevel="4">
      <c r="A3608" s="2" t="s">
        <v>6760</v>
      </c>
      <c r="B3608" s="3" t="s">
        <v>6761</v>
      </c>
      <c r="C3608" s="2"/>
      <c r="D3608" s="2" t="s">
        <v>16</v>
      </c>
      <c r="E3608" s="4">
        <f>610.85*(1-Z1%)</f>
        <v>610.85</v>
      </c>
      <c r="F3608" s="2">
        <v>2</v>
      </c>
      <c r="G3608" s="2"/>
    </row>
    <row r="3609" spans="1:26" customHeight="1" ht="18" hidden="true" outlineLevel="4">
      <c r="A3609" s="2" t="s">
        <v>6762</v>
      </c>
      <c r="B3609" s="3" t="s">
        <v>6763</v>
      </c>
      <c r="C3609" s="2"/>
      <c r="D3609" s="2" t="s">
        <v>16</v>
      </c>
      <c r="E3609" s="4">
        <f>571.46*(1-Z1%)</f>
        <v>571.46</v>
      </c>
      <c r="F3609" s="2">
        <v>3</v>
      </c>
      <c r="G3609" s="2"/>
    </row>
    <row r="3610" spans="1:26" customHeight="1" ht="35" hidden="true" outlineLevel="4">
      <c r="A3610" s="5" t="s">
        <v>6764</v>
      </c>
      <c r="B3610" s="5"/>
      <c r="C3610" s="5"/>
      <c r="D3610" s="5"/>
      <c r="E3610" s="5"/>
      <c r="F3610" s="5"/>
      <c r="G3610" s="5"/>
    </row>
    <row r="3611" spans="1:26" customHeight="1" ht="36" hidden="true" outlineLevel="4">
      <c r="A3611" s="2" t="s">
        <v>6765</v>
      </c>
      <c r="B3611" s="3" t="s">
        <v>6766</v>
      </c>
      <c r="C3611" s="2"/>
      <c r="D3611" s="2" t="s">
        <v>16</v>
      </c>
      <c r="E3611" s="4">
        <f>88.88*(1-Z1%)</f>
        <v>88.88</v>
      </c>
      <c r="F3611" s="2">
        <v>1</v>
      </c>
      <c r="G3611" s="2"/>
    </row>
    <row r="3612" spans="1:26" customHeight="1" ht="18" hidden="true" outlineLevel="4">
      <c r="A3612" s="2" t="s">
        <v>6767</v>
      </c>
      <c r="B3612" s="3" t="s">
        <v>6768</v>
      </c>
      <c r="C3612" s="2"/>
      <c r="D3612" s="2" t="s">
        <v>16</v>
      </c>
      <c r="E3612" s="4">
        <f>103.72*(1-Z1%)</f>
        <v>103.72</v>
      </c>
      <c r="F3612" s="2">
        <v>1</v>
      </c>
      <c r="G3612" s="2"/>
    </row>
    <row r="3613" spans="1:26" customHeight="1" ht="36" hidden="true" outlineLevel="4">
      <c r="A3613" s="2" t="s">
        <v>6769</v>
      </c>
      <c r="B3613" s="3" t="s">
        <v>6770</v>
      </c>
      <c r="C3613" s="2"/>
      <c r="D3613" s="2" t="s">
        <v>16</v>
      </c>
      <c r="E3613" s="4">
        <f>124.88*(1-Z1%)</f>
        <v>124.88</v>
      </c>
      <c r="F3613" s="2">
        <v>1</v>
      </c>
      <c r="G3613" s="2"/>
    </row>
    <row r="3614" spans="1:26" customHeight="1" ht="36" hidden="true" outlineLevel="4">
      <c r="A3614" s="2" t="s">
        <v>6771</v>
      </c>
      <c r="B3614" s="3" t="s">
        <v>6772</v>
      </c>
      <c r="C3614" s="2"/>
      <c r="D3614" s="2" t="s">
        <v>16</v>
      </c>
      <c r="E3614" s="4">
        <f>129.38*(1-Z1%)</f>
        <v>129.38</v>
      </c>
      <c r="F3614" s="2">
        <v>1</v>
      </c>
      <c r="G3614" s="2"/>
    </row>
    <row r="3615" spans="1:26" customHeight="1" ht="18" hidden="true" outlineLevel="4">
      <c r="A3615" s="2" t="s">
        <v>6773</v>
      </c>
      <c r="B3615" s="3" t="s">
        <v>6774</v>
      </c>
      <c r="C3615" s="2"/>
      <c r="D3615" s="2" t="s">
        <v>16</v>
      </c>
      <c r="E3615" s="4">
        <f>44.55*(1-Z1%)</f>
        <v>44.55</v>
      </c>
      <c r="F3615" s="2">
        <v>1</v>
      </c>
      <c r="G3615" s="2"/>
    </row>
    <row r="3616" spans="1:26" customHeight="1" ht="35" hidden="true" outlineLevel="4">
      <c r="A3616" s="5" t="s">
        <v>6775</v>
      </c>
      <c r="B3616" s="5"/>
      <c r="C3616" s="5"/>
      <c r="D3616" s="5"/>
      <c r="E3616" s="5"/>
      <c r="F3616" s="5"/>
      <c r="G3616" s="5"/>
    </row>
    <row r="3617" spans="1:26" customHeight="1" ht="36" hidden="true" outlineLevel="4">
      <c r="A3617" s="2" t="s">
        <v>6776</v>
      </c>
      <c r="B3617" s="3" t="s">
        <v>6777</v>
      </c>
      <c r="C3617" s="2"/>
      <c r="D3617" s="2" t="s">
        <v>16</v>
      </c>
      <c r="E3617" s="4">
        <f>273.92*(1-Z1%)</f>
        <v>273.92</v>
      </c>
      <c r="F3617" s="2">
        <v>2</v>
      </c>
      <c r="G3617" s="2"/>
    </row>
    <row r="3618" spans="1:26" customHeight="1" ht="36" hidden="true" outlineLevel="4">
      <c r="A3618" s="2" t="s">
        <v>6778</v>
      </c>
      <c r="B3618" s="3" t="s">
        <v>6779</v>
      </c>
      <c r="C3618" s="2"/>
      <c r="D3618" s="2" t="s">
        <v>16</v>
      </c>
      <c r="E3618" s="4">
        <f>164.59*(1-Z1%)</f>
        <v>164.59</v>
      </c>
      <c r="F3618" s="2">
        <v>3</v>
      </c>
      <c r="G3618" s="2"/>
    </row>
    <row r="3619" spans="1:26" customHeight="1" ht="36" hidden="true" outlineLevel="4">
      <c r="A3619" s="2" t="s">
        <v>6780</v>
      </c>
      <c r="B3619" s="3" t="s">
        <v>6781</v>
      </c>
      <c r="C3619" s="2"/>
      <c r="D3619" s="2" t="s">
        <v>16</v>
      </c>
      <c r="E3619" s="4">
        <f>208.09*(1-Z1%)</f>
        <v>208.09</v>
      </c>
      <c r="F3619" s="2">
        <v>7</v>
      </c>
      <c r="G3619" s="2"/>
    </row>
    <row r="3620" spans="1:26" customHeight="1" ht="18" hidden="true" outlineLevel="4">
      <c r="A3620" s="2" t="s">
        <v>6782</v>
      </c>
      <c r="B3620" s="3" t="s">
        <v>6783</v>
      </c>
      <c r="C3620" s="2"/>
      <c r="D3620" s="2" t="s">
        <v>16</v>
      </c>
      <c r="E3620" s="4">
        <f>881.33*(1-Z1%)</f>
        <v>881.33</v>
      </c>
      <c r="F3620" s="2">
        <v>5</v>
      </c>
      <c r="G3620" s="2"/>
    </row>
    <row r="3621" spans="1:26" customHeight="1" ht="18" hidden="true" outlineLevel="4">
      <c r="A3621" s="2" t="s">
        <v>6784</v>
      </c>
      <c r="B3621" s="3" t="s">
        <v>6785</v>
      </c>
      <c r="C3621" s="2"/>
      <c r="D3621" s="2" t="s">
        <v>16</v>
      </c>
      <c r="E3621" s="4">
        <f>785.82*(1-Z1%)</f>
        <v>785.82</v>
      </c>
      <c r="F3621" s="2">
        <v>5</v>
      </c>
      <c r="G3621" s="2"/>
    </row>
    <row r="3622" spans="1:26" customHeight="1" ht="35" hidden="true" outlineLevel="3">
      <c r="A3622" s="5" t="s">
        <v>6786</v>
      </c>
      <c r="B3622" s="5"/>
      <c r="C3622" s="5"/>
      <c r="D3622" s="5"/>
      <c r="E3622" s="5"/>
      <c r="F3622" s="5"/>
      <c r="G3622" s="5"/>
    </row>
    <row r="3623" spans="1:26" customHeight="1" ht="18" hidden="true" outlineLevel="3">
      <c r="A3623" s="2" t="s">
        <v>6787</v>
      </c>
      <c r="B3623" s="3" t="s">
        <v>6788</v>
      </c>
      <c r="C3623" s="2"/>
      <c r="D3623" s="2" t="s">
        <v>16</v>
      </c>
      <c r="E3623" s="4">
        <f>577.92*(1-Z1%)</f>
        <v>577.92</v>
      </c>
      <c r="F3623" s="2">
        <v>4</v>
      </c>
      <c r="G3623" s="2"/>
    </row>
    <row r="3624" spans="1:26" customHeight="1" ht="18" hidden="true" outlineLevel="3">
      <c r="A3624" s="2" t="s">
        <v>6789</v>
      </c>
      <c r="B3624" s="3" t="s">
        <v>6790</v>
      </c>
      <c r="C3624" s="2"/>
      <c r="D3624" s="2" t="s">
        <v>16</v>
      </c>
      <c r="E3624" s="4">
        <f>1634.72*(1-Z1%)</f>
        <v>1634.72</v>
      </c>
      <c r="F3624" s="2">
        <v>1</v>
      </c>
      <c r="G3624" s="2"/>
    </row>
    <row r="3625" spans="1:26" customHeight="1" ht="18" hidden="true" outlineLevel="3">
      <c r="A3625" s="2" t="s">
        <v>6791</v>
      </c>
      <c r="B3625" s="3" t="s">
        <v>6792</v>
      </c>
      <c r="C3625" s="2"/>
      <c r="D3625" s="2" t="s">
        <v>16</v>
      </c>
      <c r="E3625" s="4">
        <f>605.12*(1-Z1%)</f>
        <v>605.12</v>
      </c>
      <c r="F3625" s="2">
        <v>1</v>
      </c>
      <c r="G3625" s="2"/>
    </row>
    <row r="3626" spans="1:26" customHeight="1" ht="18" hidden="true" outlineLevel="3">
      <c r="A3626" s="2" t="s">
        <v>6793</v>
      </c>
      <c r="B3626" s="3" t="s">
        <v>6794</v>
      </c>
      <c r="C3626" s="2"/>
      <c r="D3626" s="2" t="s">
        <v>16</v>
      </c>
      <c r="E3626" s="4">
        <f>1166.40*(1-Z1%)</f>
        <v>1166.4</v>
      </c>
      <c r="F3626" s="2">
        <v>1</v>
      </c>
      <c r="G3626" s="2"/>
    </row>
    <row r="3627" spans="1:26" customHeight="1" ht="18" hidden="true" outlineLevel="3">
      <c r="A3627" s="2" t="s">
        <v>6795</v>
      </c>
      <c r="B3627" s="3" t="s">
        <v>6796</v>
      </c>
      <c r="C3627" s="2"/>
      <c r="D3627" s="2" t="s">
        <v>16</v>
      </c>
      <c r="E3627" s="4">
        <f>1838.14*(1-Z1%)</f>
        <v>1838.14</v>
      </c>
      <c r="F3627" s="2">
        <v>1</v>
      </c>
      <c r="G3627" s="2"/>
    </row>
    <row r="3628" spans="1:26" customHeight="1" ht="36" hidden="true" outlineLevel="3">
      <c r="A3628" s="2" t="s">
        <v>6797</v>
      </c>
      <c r="B3628" s="3" t="s">
        <v>6798</v>
      </c>
      <c r="C3628" s="2"/>
      <c r="D3628" s="2" t="s">
        <v>16</v>
      </c>
      <c r="E3628" s="4">
        <f>1007.51*(1-Z1%)</f>
        <v>1007.51</v>
      </c>
      <c r="F3628" s="2">
        <v>1</v>
      </c>
      <c r="G3628" s="2"/>
    </row>
    <row r="3629" spans="1:26" customHeight="1" ht="18" hidden="true" outlineLevel="3">
      <c r="A3629" s="2" t="s">
        <v>6799</v>
      </c>
      <c r="B3629" s="3" t="s">
        <v>6800</v>
      </c>
      <c r="C3629" s="2"/>
      <c r="D3629" s="2" t="s">
        <v>16</v>
      </c>
      <c r="E3629" s="4">
        <f>513.75*(1-Z1%)</f>
        <v>513.75</v>
      </c>
      <c r="F3629" s="2">
        <v>5</v>
      </c>
      <c r="G3629" s="2"/>
    </row>
    <row r="3630" spans="1:26" customHeight="1" ht="18" hidden="true" outlineLevel="3">
      <c r="A3630" s="2" t="s">
        <v>6801</v>
      </c>
      <c r="B3630" s="3" t="s">
        <v>6802</v>
      </c>
      <c r="C3630" s="2"/>
      <c r="D3630" s="2" t="s">
        <v>16</v>
      </c>
      <c r="E3630" s="4">
        <f>355.78*(1-Z1%)</f>
        <v>355.78</v>
      </c>
      <c r="F3630" s="2">
        <v>1</v>
      </c>
      <c r="G3630" s="2"/>
    </row>
    <row r="3631" spans="1:26" customHeight="1" ht="36" hidden="true" outlineLevel="3">
      <c r="A3631" s="2" t="s">
        <v>6803</v>
      </c>
      <c r="B3631" s="3" t="s">
        <v>6804</v>
      </c>
      <c r="C3631" s="2"/>
      <c r="D3631" s="2" t="s">
        <v>16</v>
      </c>
      <c r="E3631" s="4">
        <f>360.17*(1-Z1%)</f>
        <v>360.17</v>
      </c>
      <c r="F3631" s="2">
        <v>2</v>
      </c>
      <c r="G3631" s="2"/>
    </row>
    <row r="3632" spans="1:26" customHeight="1" ht="18" hidden="true" outlineLevel="3">
      <c r="A3632" s="2" t="s">
        <v>6805</v>
      </c>
      <c r="B3632" s="3" t="s">
        <v>6806</v>
      </c>
      <c r="C3632" s="2"/>
      <c r="D3632" s="2" t="s">
        <v>16</v>
      </c>
      <c r="E3632" s="4">
        <f>324.85*(1-Z1%)</f>
        <v>324.85</v>
      </c>
      <c r="F3632" s="2">
        <v>3</v>
      </c>
      <c r="G3632" s="2"/>
    </row>
    <row r="3633" spans="1:26" customHeight="1" ht="18" hidden="true" outlineLevel="3">
      <c r="A3633" s="2" t="s">
        <v>6807</v>
      </c>
      <c r="B3633" s="3" t="s">
        <v>6808</v>
      </c>
      <c r="C3633" s="2"/>
      <c r="D3633" s="2" t="s">
        <v>16</v>
      </c>
      <c r="E3633" s="4">
        <f>324.85*(1-Z1%)</f>
        <v>324.85</v>
      </c>
      <c r="F3633" s="2">
        <v>4</v>
      </c>
      <c r="G3633" s="2"/>
    </row>
    <row r="3634" spans="1:26" customHeight="1" ht="18" hidden="true" outlineLevel="3">
      <c r="A3634" s="2" t="s">
        <v>6809</v>
      </c>
      <c r="B3634" s="3" t="s">
        <v>6810</v>
      </c>
      <c r="C3634" s="2"/>
      <c r="D3634" s="2" t="s">
        <v>16</v>
      </c>
      <c r="E3634" s="4">
        <f>324.85*(1-Z1%)</f>
        <v>324.85</v>
      </c>
      <c r="F3634" s="2">
        <v>7</v>
      </c>
      <c r="G3634" s="2"/>
    </row>
    <row r="3635" spans="1:26" customHeight="1" ht="18" hidden="true" outlineLevel="3">
      <c r="A3635" s="2" t="s">
        <v>6811</v>
      </c>
      <c r="B3635" s="3" t="s">
        <v>6812</v>
      </c>
      <c r="C3635" s="2"/>
      <c r="D3635" s="2" t="s">
        <v>16</v>
      </c>
      <c r="E3635" s="4">
        <f>258.58*(1-Z1%)</f>
        <v>258.58</v>
      </c>
      <c r="F3635" s="2">
        <v>6</v>
      </c>
      <c r="G3635" s="2"/>
    </row>
    <row r="3636" spans="1:26" customHeight="1" ht="18" hidden="true" outlineLevel="3">
      <c r="A3636" s="2" t="s">
        <v>6813</v>
      </c>
      <c r="B3636" s="3" t="s">
        <v>6814</v>
      </c>
      <c r="C3636" s="2"/>
      <c r="D3636" s="2" t="s">
        <v>16</v>
      </c>
      <c r="E3636" s="4">
        <f>263.01*(1-Z1%)</f>
        <v>263.01</v>
      </c>
      <c r="F3636" s="2">
        <v>2</v>
      </c>
      <c r="G3636" s="2"/>
    </row>
    <row r="3637" spans="1:26" customHeight="1" ht="36" hidden="true" outlineLevel="3">
      <c r="A3637" s="2" t="s">
        <v>6815</v>
      </c>
      <c r="B3637" s="3" t="s">
        <v>6816</v>
      </c>
      <c r="C3637" s="2"/>
      <c r="D3637" s="2" t="s">
        <v>16</v>
      </c>
      <c r="E3637" s="4">
        <f>417.35*(1-Z1%)</f>
        <v>417.35</v>
      </c>
      <c r="F3637" s="2">
        <v>2</v>
      </c>
      <c r="G3637" s="2"/>
    </row>
    <row r="3638" spans="1:26" customHeight="1" ht="36" hidden="true" outlineLevel="3">
      <c r="A3638" s="2" t="s">
        <v>6817</v>
      </c>
      <c r="B3638" s="3" t="s">
        <v>6818</v>
      </c>
      <c r="C3638" s="2"/>
      <c r="D3638" s="2" t="s">
        <v>16</v>
      </c>
      <c r="E3638" s="4">
        <f>417.35*(1-Z1%)</f>
        <v>417.35</v>
      </c>
      <c r="F3638" s="2">
        <v>2</v>
      </c>
      <c r="G3638" s="2"/>
    </row>
    <row r="3639" spans="1:26" customHeight="1" ht="18" hidden="true" outlineLevel="3">
      <c r="A3639" s="2" t="s">
        <v>6819</v>
      </c>
      <c r="B3639" s="3" t="s">
        <v>6820</v>
      </c>
      <c r="C3639" s="2"/>
      <c r="D3639" s="2" t="s">
        <v>16</v>
      </c>
      <c r="E3639" s="4">
        <f>998.22*(1-Z1%)</f>
        <v>998.22</v>
      </c>
      <c r="F3639" s="2">
        <v>2</v>
      </c>
      <c r="G3639" s="2"/>
    </row>
    <row r="3640" spans="1:26" customHeight="1" ht="35" hidden="true" outlineLevel="3">
      <c r="A3640" s="5" t="s">
        <v>6821</v>
      </c>
      <c r="B3640" s="5"/>
      <c r="C3640" s="5"/>
      <c r="D3640" s="5"/>
      <c r="E3640" s="5"/>
      <c r="F3640" s="5"/>
      <c r="G3640" s="5"/>
    </row>
    <row r="3641" spans="1:26" customHeight="1" ht="35" hidden="true" outlineLevel="4">
      <c r="A3641" s="5" t="s">
        <v>6822</v>
      </c>
      <c r="B3641" s="5"/>
      <c r="C3641" s="5"/>
      <c r="D3641" s="5"/>
      <c r="E3641" s="5"/>
      <c r="F3641" s="5"/>
      <c r="G3641" s="5"/>
    </row>
    <row r="3642" spans="1:26" customHeight="1" ht="36" hidden="true" outlineLevel="4">
      <c r="A3642" s="2" t="s">
        <v>6823</v>
      </c>
      <c r="B3642" s="3" t="s">
        <v>6824</v>
      </c>
      <c r="C3642" s="2"/>
      <c r="D3642" s="2" t="s">
        <v>16</v>
      </c>
      <c r="E3642" s="4">
        <f>24.55*(1-Z1%)</f>
        <v>24.55</v>
      </c>
      <c r="F3642" s="2">
        <v>8</v>
      </c>
      <c r="G3642" s="2"/>
    </row>
    <row r="3643" spans="1:26" customHeight="1" ht="36" hidden="true" outlineLevel="4">
      <c r="A3643" s="2" t="s">
        <v>6825</v>
      </c>
      <c r="B3643" s="3" t="s">
        <v>6826</v>
      </c>
      <c r="C3643" s="2"/>
      <c r="D3643" s="2" t="s">
        <v>16</v>
      </c>
      <c r="E3643" s="4">
        <f>24.71*(1-Z1%)</f>
        <v>24.71</v>
      </c>
      <c r="F3643" s="2">
        <v>15</v>
      </c>
      <c r="G3643" s="2"/>
    </row>
    <row r="3644" spans="1:26" customHeight="1" ht="36" hidden="true" outlineLevel="4">
      <c r="A3644" s="2" t="s">
        <v>6827</v>
      </c>
      <c r="B3644" s="3" t="s">
        <v>6828</v>
      </c>
      <c r="C3644" s="2"/>
      <c r="D3644" s="2" t="s">
        <v>16</v>
      </c>
      <c r="E3644" s="4">
        <f>28.24*(1-Z1%)</f>
        <v>28.24</v>
      </c>
      <c r="F3644" s="2">
        <v>8</v>
      </c>
      <c r="G3644" s="2"/>
    </row>
    <row r="3645" spans="1:26" customHeight="1" ht="18" hidden="true" outlineLevel="4">
      <c r="A3645" s="2" t="s">
        <v>6829</v>
      </c>
      <c r="B3645" s="3" t="s">
        <v>6830</v>
      </c>
      <c r="C3645" s="2"/>
      <c r="D3645" s="2" t="s">
        <v>16</v>
      </c>
      <c r="E3645" s="4">
        <f>38.55*(1-Z1%)</f>
        <v>38.55</v>
      </c>
      <c r="F3645" s="2">
        <v>20</v>
      </c>
      <c r="G3645" s="2"/>
    </row>
    <row r="3646" spans="1:26" customHeight="1" ht="18" hidden="true" outlineLevel="4">
      <c r="A3646" s="2" t="s">
        <v>6831</v>
      </c>
      <c r="B3646" s="3" t="s">
        <v>6832</v>
      </c>
      <c r="C3646" s="2"/>
      <c r="D3646" s="2" t="s">
        <v>16</v>
      </c>
      <c r="E3646" s="4">
        <f>37.42*(1-Z1%)</f>
        <v>37.42</v>
      </c>
      <c r="F3646" s="2">
        <v>13</v>
      </c>
      <c r="G3646" s="2"/>
    </row>
    <row r="3647" spans="1:26" customHeight="1" ht="36" hidden="true" outlineLevel="4">
      <c r="A3647" s="2" t="s">
        <v>6833</v>
      </c>
      <c r="B3647" s="3" t="s">
        <v>6834</v>
      </c>
      <c r="C3647" s="2"/>
      <c r="D3647" s="2" t="s">
        <v>16</v>
      </c>
      <c r="E3647" s="4">
        <f>124.90*(1-Z1%)</f>
        <v>124.9</v>
      </c>
      <c r="F3647" s="2">
        <v>10</v>
      </c>
      <c r="G3647" s="2"/>
    </row>
    <row r="3648" spans="1:26" customHeight="1" ht="36" hidden="true" outlineLevel="4">
      <c r="A3648" s="2" t="s">
        <v>6835</v>
      </c>
      <c r="B3648" s="3" t="s">
        <v>6836</v>
      </c>
      <c r="C3648" s="2"/>
      <c r="D3648" s="2" t="s">
        <v>16</v>
      </c>
      <c r="E3648" s="4">
        <f>106.38*(1-Z1%)</f>
        <v>106.38</v>
      </c>
      <c r="F3648" s="2">
        <v>9</v>
      </c>
      <c r="G3648" s="2"/>
    </row>
    <row r="3649" spans="1:26" customHeight="1" ht="35" hidden="true" outlineLevel="4">
      <c r="A3649" s="5" t="s">
        <v>6837</v>
      </c>
      <c r="B3649" s="5"/>
      <c r="C3649" s="5"/>
      <c r="D3649" s="5"/>
      <c r="E3649" s="5"/>
      <c r="F3649" s="5"/>
      <c r="G3649" s="5"/>
    </row>
    <row r="3650" spans="1:26" customHeight="1" ht="18" hidden="true" outlineLevel="4">
      <c r="A3650" s="2" t="s">
        <v>6838</v>
      </c>
      <c r="B3650" s="3" t="s">
        <v>6839</v>
      </c>
      <c r="C3650" s="2"/>
      <c r="D3650" s="2" t="s">
        <v>16</v>
      </c>
      <c r="E3650" s="4">
        <f>91.13*(1-Z1%)</f>
        <v>91.13</v>
      </c>
      <c r="F3650" s="2">
        <v>2</v>
      </c>
      <c r="G3650" s="2"/>
    </row>
    <row r="3651" spans="1:26" customHeight="1" ht="18" hidden="true" outlineLevel="4">
      <c r="A3651" s="2" t="s">
        <v>6840</v>
      </c>
      <c r="B3651" s="3" t="s">
        <v>6841</v>
      </c>
      <c r="C3651" s="2"/>
      <c r="D3651" s="2" t="s">
        <v>16</v>
      </c>
      <c r="E3651" s="4">
        <f>91.13*(1-Z1%)</f>
        <v>91.13</v>
      </c>
      <c r="F3651" s="2">
        <v>2</v>
      </c>
      <c r="G3651" s="2"/>
    </row>
    <row r="3652" spans="1:26" customHeight="1" ht="18" hidden="true" outlineLevel="4">
      <c r="A3652" s="2" t="s">
        <v>6842</v>
      </c>
      <c r="B3652" s="3" t="s">
        <v>6843</v>
      </c>
      <c r="C3652" s="2"/>
      <c r="D3652" s="2" t="s">
        <v>16</v>
      </c>
      <c r="E3652" s="4">
        <f>107.33*(1-Z1%)</f>
        <v>107.33</v>
      </c>
      <c r="F3652" s="2">
        <v>2</v>
      </c>
      <c r="G3652" s="2"/>
    </row>
    <row r="3653" spans="1:26" customHeight="1" ht="18" hidden="true" outlineLevel="4">
      <c r="A3653" s="2" t="s">
        <v>6844</v>
      </c>
      <c r="B3653" s="3" t="s">
        <v>6845</v>
      </c>
      <c r="C3653" s="2"/>
      <c r="D3653" s="2" t="s">
        <v>16</v>
      </c>
      <c r="E3653" s="4">
        <f>107.33*(1-Z1%)</f>
        <v>107.33</v>
      </c>
      <c r="F3653" s="2">
        <v>2</v>
      </c>
      <c r="G3653" s="2"/>
    </row>
    <row r="3654" spans="1:26" customHeight="1" ht="18" hidden="true" outlineLevel="4">
      <c r="A3654" s="2" t="s">
        <v>6846</v>
      </c>
      <c r="B3654" s="3" t="s">
        <v>6847</v>
      </c>
      <c r="C3654" s="2"/>
      <c r="D3654" s="2" t="s">
        <v>16</v>
      </c>
      <c r="E3654" s="4">
        <f>152.89*(1-Z1%)</f>
        <v>152.89</v>
      </c>
      <c r="F3654" s="2">
        <v>2</v>
      </c>
      <c r="G3654" s="2"/>
    </row>
    <row r="3655" spans="1:26" customHeight="1" ht="18" hidden="true" outlineLevel="4">
      <c r="A3655" s="2" t="s">
        <v>6848</v>
      </c>
      <c r="B3655" s="3" t="s">
        <v>6849</v>
      </c>
      <c r="C3655" s="2"/>
      <c r="D3655" s="2" t="s">
        <v>16</v>
      </c>
      <c r="E3655" s="4">
        <f>68.85*(1-Z1%)</f>
        <v>68.85</v>
      </c>
      <c r="F3655" s="2">
        <v>1</v>
      </c>
      <c r="G3655" s="2"/>
    </row>
    <row r="3656" spans="1:26" customHeight="1" ht="18" hidden="true" outlineLevel="4">
      <c r="A3656" s="2" t="s">
        <v>6850</v>
      </c>
      <c r="B3656" s="3" t="s">
        <v>6851</v>
      </c>
      <c r="C3656" s="2"/>
      <c r="D3656" s="2" t="s">
        <v>16</v>
      </c>
      <c r="E3656" s="4">
        <f>68.85*(1-Z1%)</f>
        <v>68.85</v>
      </c>
      <c r="F3656" s="2">
        <v>1</v>
      </c>
      <c r="G3656" s="2"/>
    </row>
    <row r="3657" spans="1:26" customHeight="1" ht="18" hidden="true" outlineLevel="4">
      <c r="A3657" s="2" t="s">
        <v>6852</v>
      </c>
      <c r="B3657" s="3" t="s">
        <v>6853</v>
      </c>
      <c r="C3657" s="2"/>
      <c r="D3657" s="2" t="s">
        <v>16</v>
      </c>
      <c r="E3657" s="4">
        <f>68.85*(1-Z1%)</f>
        <v>68.85</v>
      </c>
      <c r="F3657" s="2">
        <v>2</v>
      </c>
      <c r="G3657" s="2"/>
    </row>
    <row r="3658" spans="1:26" customHeight="1" ht="35" hidden="true" outlineLevel="4">
      <c r="A3658" s="5" t="s">
        <v>6854</v>
      </c>
      <c r="B3658" s="5"/>
      <c r="C3658" s="5"/>
      <c r="D3658" s="5"/>
      <c r="E3658" s="5"/>
      <c r="F3658" s="5"/>
      <c r="G3658" s="5"/>
    </row>
    <row r="3659" spans="1:26" customHeight="1" ht="36" hidden="true" outlineLevel="4">
      <c r="A3659" s="2" t="s">
        <v>6855</v>
      </c>
      <c r="B3659" s="3" t="s">
        <v>6856</v>
      </c>
      <c r="C3659" s="2"/>
      <c r="D3659" s="2" t="s">
        <v>16</v>
      </c>
      <c r="E3659" s="4">
        <f>34.53*(1-Z1%)</f>
        <v>34.53</v>
      </c>
      <c r="F3659" s="2">
        <v>8</v>
      </c>
      <c r="G3659" s="2"/>
    </row>
    <row r="3660" spans="1:26" customHeight="1" ht="18" hidden="true" outlineLevel="4">
      <c r="A3660" s="2" t="s">
        <v>6857</v>
      </c>
      <c r="B3660" s="3" t="s">
        <v>6858</v>
      </c>
      <c r="C3660" s="2"/>
      <c r="D3660" s="2" t="s">
        <v>16</v>
      </c>
      <c r="E3660" s="4">
        <f>9.90*(1-Z1%)</f>
        <v>9.9</v>
      </c>
      <c r="F3660" s="2">
        <v>21</v>
      </c>
      <c r="G3660" s="2"/>
    </row>
    <row r="3661" spans="1:26" customHeight="1" ht="18" hidden="true" outlineLevel="4">
      <c r="A3661" s="2" t="s">
        <v>6859</v>
      </c>
      <c r="B3661" s="3" t="s">
        <v>6860</v>
      </c>
      <c r="C3661" s="2"/>
      <c r="D3661" s="2" t="s">
        <v>16</v>
      </c>
      <c r="E3661" s="4">
        <f>14.85*(1-Z1%)</f>
        <v>14.85</v>
      </c>
      <c r="F3661" s="2">
        <v>8</v>
      </c>
      <c r="G3661" s="2"/>
    </row>
    <row r="3662" spans="1:26" customHeight="1" ht="36" hidden="true" outlineLevel="4">
      <c r="A3662" s="2" t="s">
        <v>6861</v>
      </c>
      <c r="B3662" s="3" t="s">
        <v>6862</v>
      </c>
      <c r="C3662" s="2"/>
      <c r="D3662" s="2" t="s">
        <v>16</v>
      </c>
      <c r="E3662" s="4">
        <f>46.66*(1-Z1%)</f>
        <v>46.66</v>
      </c>
      <c r="F3662" s="2">
        <v>5</v>
      </c>
      <c r="G3662" s="2"/>
    </row>
    <row r="3663" spans="1:26" customHeight="1" ht="36" hidden="true" outlineLevel="4">
      <c r="A3663" s="2" t="s">
        <v>6863</v>
      </c>
      <c r="B3663" s="3" t="s">
        <v>6864</v>
      </c>
      <c r="C3663" s="2"/>
      <c r="D3663" s="2" t="s">
        <v>16</v>
      </c>
      <c r="E3663" s="4">
        <f>41.80*(1-Z1%)</f>
        <v>41.8</v>
      </c>
      <c r="F3663" s="2">
        <v>5</v>
      </c>
      <c r="G3663" s="2"/>
    </row>
    <row r="3664" spans="1:26" customHeight="1" ht="36" hidden="true" outlineLevel="4">
      <c r="A3664" s="2" t="s">
        <v>6865</v>
      </c>
      <c r="B3664" s="3" t="s">
        <v>6866</v>
      </c>
      <c r="C3664" s="2"/>
      <c r="D3664" s="2" t="s">
        <v>16</v>
      </c>
      <c r="E3664" s="4">
        <f>13.37*(1-Z1%)</f>
        <v>13.37</v>
      </c>
      <c r="F3664" s="2">
        <v>3</v>
      </c>
      <c r="G3664" s="2"/>
    </row>
    <row r="3665" spans="1:26" customHeight="1" ht="36" hidden="true" outlineLevel="4">
      <c r="A3665" s="2" t="s">
        <v>6867</v>
      </c>
      <c r="B3665" s="3" t="s">
        <v>6868</v>
      </c>
      <c r="C3665" s="2"/>
      <c r="D3665" s="2" t="s">
        <v>16</v>
      </c>
      <c r="E3665" s="4">
        <f>79.89*(1-Z1%)</f>
        <v>79.89</v>
      </c>
      <c r="F3665" s="2">
        <v>7</v>
      </c>
      <c r="G3665" s="2"/>
    </row>
    <row r="3666" spans="1:26" customHeight="1" ht="36" hidden="true" outlineLevel="4">
      <c r="A3666" s="2" t="s">
        <v>6869</v>
      </c>
      <c r="B3666" s="3" t="s">
        <v>6870</v>
      </c>
      <c r="C3666" s="2"/>
      <c r="D3666" s="2" t="s">
        <v>16</v>
      </c>
      <c r="E3666" s="4">
        <f>102.01*(1-Z1%)</f>
        <v>102.01</v>
      </c>
      <c r="F3666" s="2">
        <v>2</v>
      </c>
      <c r="G3666" s="2"/>
    </row>
    <row r="3667" spans="1:26" customHeight="1" ht="35" hidden="true" outlineLevel="4">
      <c r="A3667" s="5" t="s">
        <v>6871</v>
      </c>
      <c r="B3667" s="5"/>
      <c r="C3667" s="5"/>
      <c r="D3667" s="5"/>
      <c r="E3667" s="5"/>
      <c r="F3667" s="5"/>
      <c r="G3667" s="5"/>
    </row>
    <row r="3668" spans="1:26" customHeight="1" ht="36" hidden="true" outlineLevel="4">
      <c r="A3668" s="2" t="s">
        <v>6872</v>
      </c>
      <c r="B3668" s="3" t="s">
        <v>6873</v>
      </c>
      <c r="C3668" s="2"/>
      <c r="D3668" s="2" t="s">
        <v>16</v>
      </c>
      <c r="E3668" s="4">
        <f>129.18*(1-Z1%)</f>
        <v>129.18</v>
      </c>
      <c r="F3668" s="2">
        <v>3</v>
      </c>
      <c r="G3668" s="2"/>
    </row>
    <row r="3669" spans="1:26" customHeight="1" ht="36" hidden="true" outlineLevel="4">
      <c r="A3669" s="2" t="s">
        <v>6874</v>
      </c>
      <c r="B3669" s="3" t="s">
        <v>6875</v>
      </c>
      <c r="C3669" s="2"/>
      <c r="D3669" s="2" t="s">
        <v>16</v>
      </c>
      <c r="E3669" s="4">
        <f>161.31*(1-Z1%)</f>
        <v>161.31</v>
      </c>
      <c r="F3669" s="2">
        <v>2</v>
      </c>
      <c r="G3669" s="2"/>
    </row>
    <row r="3670" spans="1:26" customHeight="1" ht="36" hidden="true" outlineLevel="4">
      <c r="A3670" s="2" t="s">
        <v>6876</v>
      </c>
      <c r="B3670" s="3" t="s">
        <v>6877</v>
      </c>
      <c r="C3670" s="2"/>
      <c r="D3670" s="2" t="s">
        <v>16</v>
      </c>
      <c r="E3670" s="4">
        <f>166.68*(1-Z1%)</f>
        <v>166.68</v>
      </c>
      <c r="F3670" s="2">
        <v>3</v>
      </c>
      <c r="G3670" s="2"/>
    </row>
    <row r="3671" spans="1:26" customHeight="1" ht="36" hidden="true" outlineLevel="4">
      <c r="A3671" s="2" t="s">
        <v>6878</v>
      </c>
      <c r="B3671" s="3" t="s">
        <v>6879</v>
      </c>
      <c r="C3671" s="2"/>
      <c r="D3671" s="2" t="s">
        <v>16</v>
      </c>
      <c r="E3671" s="4">
        <f>218.06*(1-Z1%)</f>
        <v>218.06</v>
      </c>
      <c r="F3671" s="2">
        <v>3</v>
      </c>
      <c r="G3671" s="2"/>
    </row>
    <row r="3672" spans="1:26" customHeight="1" ht="36" hidden="true" outlineLevel="4">
      <c r="A3672" s="2" t="s">
        <v>6880</v>
      </c>
      <c r="B3672" s="3" t="s">
        <v>6881</v>
      </c>
      <c r="C3672" s="2"/>
      <c r="D3672" s="2" t="s">
        <v>16</v>
      </c>
      <c r="E3672" s="4">
        <f>226.13*(1-Z1%)</f>
        <v>226.13</v>
      </c>
      <c r="F3672" s="2">
        <v>6</v>
      </c>
      <c r="G3672" s="2"/>
    </row>
    <row r="3673" spans="1:26" customHeight="1" ht="36" hidden="true" outlineLevel="4">
      <c r="A3673" s="2" t="s">
        <v>6882</v>
      </c>
      <c r="B3673" s="3" t="s">
        <v>6883</v>
      </c>
      <c r="C3673" s="2"/>
      <c r="D3673" s="2" t="s">
        <v>16</v>
      </c>
      <c r="E3673" s="4">
        <f>127.78*(1-Z1%)</f>
        <v>127.78</v>
      </c>
      <c r="F3673" s="2">
        <v>3</v>
      </c>
      <c r="G3673" s="2"/>
    </row>
    <row r="3674" spans="1:26" customHeight="1" ht="36" hidden="true" outlineLevel="4">
      <c r="A3674" s="2" t="s">
        <v>6884</v>
      </c>
      <c r="B3674" s="3" t="s">
        <v>6885</v>
      </c>
      <c r="C3674" s="2"/>
      <c r="D3674" s="2" t="s">
        <v>16</v>
      </c>
      <c r="E3674" s="4">
        <f>145.84*(1-Z1%)</f>
        <v>145.84</v>
      </c>
      <c r="F3674" s="2">
        <v>3</v>
      </c>
      <c r="G3674" s="2"/>
    </row>
    <row r="3675" spans="1:26" customHeight="1" ht="36" hidden="true" outlineLevel="4">
      <c r="A3675" s="2" t="s">
        <v>6886</v>
      </c>
      <c r="B3675" s="3" t="s">
        <v>6887</v>
      </c>
      <c r="C3675" s="2"/>
      <c r="D3675" s="2" t="s">
        <v>16</v>
      </c>
      <c r="E3675" s="4">
        <f>143.81*(1-Z1%)</f>
        <v>143.81</v>
      </c>
      <c r="F3675" s="2">
        <v>3</v>
      </c>
      <c r="G3675" s="2"/>
    </row>
    <row r="3676" spans="1:26" customHeight="1" ht="35" hidden="true" outlineLevel="4">
      <c r="A3676" s="5" t="s">
        <v>6888</v>
      </c>
      <c r="B3676" s="5"/>
      <c r="C3676" s="5"/>
      <c r="D3676" s="5"/>
      <c r="E3676" s="5"/>
      <c r="F3676" s="5"/>
      <c r="G3676" s="5"/>
    </row>
    <row r="3677" spans="1:26" customHeight="1" ht="18" hidden="true" outlineLevel="4">
      <c r="A3677" s="2" t="s">
        <v>6889</v>
      </c>
      <c r="B3677" s="3" t="s">
        <v>6890</v>
      </c>
      <c r="C3677" s="2"/>
      <c r="D3677" s="2" t="s">
        <v>16</v>
      </c>
      <c r="E3677" s="4">
        <f>45.81*(1-Z1%)</f>
        <v>45.81</v>
      </c>
      <c r="F3677" s="2">
        <v>4</v>
      </c>
      <c r="G3677" s="2"/>
    </row>
    <row r="3678" spans="1:26" customHeight="1" ht="18" hidden="true" outlineLevel="4">
      <c r="A3678" s="2" t="s">
        <v>6891</v>
      </c>
      <c r="B3678" s="3" t="s">
        <v>6892</v>
      </c>
      <c r="C3678" s="2"/>
      <c r="D3678" s="2" t="s">
        <v>16</v>
      </c>
      <c r="E3678" s="4">
        <f>97.88*(1-Z1%)</f>
        <v>97.88</v>
      </c>
      <c r="F3678" s="2">
        <v>3</v>
      </c>
      <c r="G3678" s="2"/>
    </row>
    <row r="3679" spans="1:26" customHeight="1" ht="18" hidden="true" outlineLevel="4">
      <c r="A3679" s="2" t="s">
        <v>6893</v>
      </c>
      <c r="B3679" s="3" t="s">
        <v>6894</v>
      </c>
      <c r="C3679" s="2"/>
      <c r="D3679" s="2" t="s">
        <v>16</v>
      </c>
      <c r="E3679" s="4">
        <f>59.76*(1-Z1%)</f>
        <v>59.76</v>
      </c>
      <c r="F3679" s="2">
        <v>5</v>
      </c>
      <c r="G3679" s="2"/>
    </row>
    <row r="3680" spans="1:26" customHeight="1" ht="18" hidden="true" outlineLevel="4">
      <c r="A3680" s="2" t="s">
        <v>6895</v>
      </c>
      <c r="B3680" s="3" t="s">
        <v>6896</v>
      </c>
      <c r="C3680" s="2"/>
      <c r="D3680" s="2" t="s">
        <v>16</v>
      </c>
      <c r="E3680" s="4">
        <f>181.69*(1-Z1%)</f>
        <v>181.69</v>
      </c>
      <c r="F3680" s="2">
        <v>3</v>
      </c>
      <c r="G3680" s="2"/>
    </row>
    <row r="3681" spans="1:26" customHeight="1" ht="18" hidden="true" outlineLevel="4">
      <c r="A3681" s="2" t="s">
        <v>6897</v>
      </c>
      <c r="B3681" s="3" t="s">
        <v>6898</v>
      </c>
      <c r="C3681" s="2"/>
      <c r="D3681" s="2" t="s">
        <v>16</v>
      </c>
      <c r="E3681" s="4">
        <f>118.13*(1-Z1%)</f>
        <v>118.13</v>
      </c>
      <c r="F3681" s="2">
        <v>4</v>
      </c>
      <c r="G3681" s="2"/>
    </row>
    <row r="3682" spans="1:26" customHeight="1" ht="18" hidden="true" outlineLevel="4">
      <c r="A3682" s="2" t="s">
        <v>6899</v>
      </c>
      <c r="B3682" s="3" t="s">
        <v>6900</v>
      </c>
      <c r="C3682" s="2"/>
      <c r="D3682" s="2" t="s">
        <v>16</v>
      </c>
      <c r="E3682" s="4">
        <f>115.43*(1-Z1%)</f>
        <v>115.43</v>
      </c>
      <c r="F3682" s="2">
        <v>3</v>
      </c>
      <c r="G3682" s="2"/>
    </row>
    <row r="3683" spans="1:26" customHeight="1" ht="18" hidden="true" outlineLevel="4">
      <c r="A3683" s="2" t="s">
        <v>6901</v>
      </c>
      <c r="B3683" s="3" t="s">
        <v>6902</v>
      </c>
      <c r="C3683" s="2"/>
      <c r="D3683" s="2" t="s">
        <v>16</v>
      </c>
      <c r="E3683" s="4">
        <f>113.40*(1-Z1%)</f>
        <v>113.4</v>
      </c>
      <c r="F3683" s="2">
        <v>2</v>
      </c>
      <c r="G3683" s="2"/>
    </row>
    <row r="3684" spans="1:26" customHeight="1" ht="18" hidden="true" outlineLevel="4">
      <c r="A3684" s="2" t="s">
        <v>6903</v>
      </c>
      <c r="B3684" s="3" t="s">
        <v>6904</v>
      </c>
      <c r="C3684" s="2"/>
      <c r="D3684" s="2" t="s">
        <v>16</v>
      </c>
      <c r="E3684" s="4">
        <f>128.25*(1-Z1%)</f>
        <v>128.25</v>
      </c>
      <c r="F3684" s="2">
        <v>5</v>
      </c>
      <c r="G3684" s="2"/>
    </row>
    <row r="3685" spans="1:26" customHeight="1" ht="18" hidden="true" outlineLevel="4">
      <c r="A3685" s="2" t="s">
        <v>6905</v>
      </c>
      <c r="B3685" s="3" t="s">
        <v>6906</v>
      </c>
      <c r="C3685" s="2"/>
      <c r="D3685" s="2" t="s">
        <v>16</v>
      </c>
      <c r="E3685" s="4">
        <f>92.25*(1-Z1%)</f>
        <v>92.25</v>
      </c>
      <c r="F3685" s="2">
        <v>5</v>
      </c>
      <c r="G3685" s="2"/>
    </row>
    <row r="3686" spans="1:26" customHeight="1" ht="18" hidden="true" outlineLevel="4">
      <c r="A3686" s="2" t="s">
        <v>6907</v>
      </c>
      <c r="B3686" s="3" t="s">
        <v>6908</v>
      </c>
      <c r="C3686" s="2"/>
      <c r="D3686" s="2" t="s">
        <v>16</v>
      </c>
      <c r="E3686" s="4">
        <f>150.87*(1-Z1%)</f>
        <v>150.87</v>
      </c>
      <c r="F3686" s="2">
        <v>5</v>
      </c>
      <c r="G3686" s="2"/>
    </row>
    <row r="3687" spans="1:26" customHeight="1" ht="18" hidden="true" outlineLevel="4">
      <c r="A3687" s="2" t="s">
        <v>6909</v>
      </c>
      <c r="B3687" s="3" t="s">
        <v>6910</v>
      </c>
      <c r="C3687" s="2"/>
      <c r="D3687" s="2" t="s">
        <v>16</v>
      </c>
      <c r="E3687" s="4">
        <f>44.68*(1-Z1%)</f>
        <v>44.68</v>
      </c>
      <c r="F3687" s="2">
        <v>3</v>
      </c>
      <c r="G3687" s="2"/>
    </row>
    <row r="3688" spans="1:26" customHeight="1" ht="18" hidden="true" outlineLevel="4">
      <c r="A3688" s="2" t="s">
        <v>6911</v>
      </c>
      <c r="B3688" s="3" t="s">
        <v>6912</v>
      </c>
      <c r="C3688" s="2"/>
      <c r="D3688" s="2" t="s">
        <v>16</v>
      </c>
      <c r="E3688" s="4">
        <f>70.48*(1-Z1%)</f>
        <v>70.48</v>
      </c>
      <c r="F3688" s="2">
        <v>4</v>
      </c>
      <c r="G3688" s="2"/>
    </row>
    <row r="3689" spans="1:26" customHeight="1" ht="18" hidden="true" outlineLevel="4">
      <c r="A3689" s="2" t="s">
        <v>6913</v>
      </c>
      <c r="B3689" s="3" t="s">
        <v>6914</v>
      </c>
      <c r="C3689" s="2"/>
      <c r="D3689" s="2" t="s">
        <v>16</v>
      </c>
      <c r="E3689" s="4">
        <f>150.70*(1-Z1%)</f>
        <v>150.7</v>
      </c>
      <c r="F3689" s="2">
        <v>4</v>
      </c>
      <c r="G3689" s="2"/>
    </row>
    <row r="3690" spans="1:26" customHeight="1" ht="36" hidden="true" outlineLevel="4">
      <c r="A3690" s="2" t="s">
        <v>6915</v>
      </c>
      <c r="B3690" s="3" t="s">
        <v>6916</v>
      </c>
      <c r="C3690" s="2"/>
      <c r="D3690" s="2" t="s">
        <v>16</v>
      </c>
      <c r="E3690" s="4">
        <f>79.74*(1-Z1%)</f>
        <v>79.74</v>
      </c>
      <c r="F3690" s="2">
        <v>2</v>
      </c>
      <c r="G3690" s="2"/>
    </row>
    <row r="3691" spans="1:26" customHeight="1" ht="36" hidden="true" outlineLevel="4">
      <c r="A3691" s="2" t="s">
        <v>6917</v>
      </c>
      <c r="B3691" s="3" t="s">
        <v>6918</v>
      </c>
      <c r="C3691" s="2"/>
      <c r="D3691" s="2" t="s">
        <v>16</v>
      </c>
      <c r="E3691" s="4">
        <f>89.55*(1-Z1%)</f>
        <v>89.55</v>
      </c>
      <c r="F3691" s="2">
        <v>3</v>
      </c>
      <c r="G3691" s="2"/>
    </row>
    <row r="3692" spans="1:26" customHeight="1" ht="35" hidden="true" outlineLevel="4">
      <c r="A3692" s="5" t="s">
        <v>6919</v>
      </c>
      <c r="B3692" s="5"/>
      <c r="C3692" s="5"/>
      <c r="D3692" s="5"/>
      <c r="E3692" s="5"/>
      <c r="F3692" s="5"/>
      <c r="G3692" s="5"/>
    </row>
    <row r="3693" spans="1:26" customHeight="1" ht="18" hidden="true" outlineLevel="4">
      <c r="A3693" s="2" t="s">
        <v>6920</v>
      </c>
      <c r="B3693" s="3" t="s">
        <v>6921</v>
      </c>
      <c r="C3693" s="2"/>
      <c r="D3693" s="2" t="s">
        <v>16</v>
      </c>
      <c r="E3693" s="4">
        <f>69.87*(1-Z1%)</f>
        <v>69.87</v>
      </c>
      <c r="F3693" s="2">
        <v>4</v>
      </c>
      <c r="G3693" s="2"/>
    </row>
    <row r="3694" spans="1:26" customHeight="1" ht="18" hidden="true" outlineLevel="4">
      <c r="A3694" s="2" t="s">
        <v>6922</v>
      </c>
      <c r="B3694" s="3" t="s">
        <v>6923</v>
      </c>
      <c r="C3694" s="2"/>
      <c r="D3694" s="2" t="s">
        <v>16</v>
      </c>
      <c r="E3694" s="4">
        <f>72.90*(1-Z1%)</f>
        <v>72.9</v>
      </c>
      <c r="F3694" s="2">
        <v>4</v>
      </c>
      <c r="G3694" s="2"/>
    </row>
    <row r="3695" spans="1:26" customHeight="1" ht="18" hidden="true" outlineLevel="4">
      <c r="A3695" s="2" t="s">
        <v>6924</v>
      </c>
      <c r="B3695" s="3" t="s">
        <v>6925</v>
      </c>
      <c r="C3695" s="2"/>
      <c r="D3695" s="2" t="s">
        <v>16</v>
      </c>
      <c r="E3695" s="4">
        <f>69.47*(1-Z1%)</f>
        <v>69.47</v>
      </c>
      <c r="F3695" s="2">
        <v>4</v>
      </c>
      <c r="G3695" s="2"/>
    </row>
    <row r="3696" spans="1:26" customHeight="1" ht="18" hidden="true" outlineLevel="4">
      <c r="A3696" s="2" t="s">
        <v>6926</v>
      </c>
      <c r="B3696" s="3" t="s">
        <v>6927</v>
      </c>
      <c r="C3696" s="2"/>
      <c r="D3696" s="2" t="s">
        <v>16</v>
      </c>
      <c r="E3696" s="4">
        <f>76.95*(1-Z1%)</f>
        <v>76.95</v>
      </c>
      <c r="F3696" s="2">
        <v>2</v>
      </c>
      <c r="G3696" s="2"/>
    </row>
    <row r="3697" spans="1:26" customHeight="1" ht="36" hidden="true" outlineLevel="4">
      <c r="A3697" s="2" t="s">
        <v>6928</v>
      </c>
      <c r="B3697" s="3" t="s">
        <v>6929</v>
      </c>
      <c r="C3697" s="2"/>
      <c r="D3697" s="2" t="s">
        <v>16</v>
      </c>
      <c r="E3697" s="4">
        <f>53.97*(1-Z1%)</f>
        <v>53.97</v>
      </c>
      <c r="F3697" s="2">
        <v>1</v>
      </c>
      <c r="G3697" s="2"/>
    </row>
    <row r="3698" spans="1:26" customHeight="1" ht="36" hidden="true" outlineLevel="4">
      <c r="A3698" s="2" t="s">
        <v>6930</v>
      </c>
      <c r="B3698" s="3" t="s">
        <v>6931</v>
      </c>
      <c r="C3698" s="2"/>
      <c r="D3698" s="2" t="s">
        <v>16</v>
      </c>
      <c r="E3698" s="4">
        <f>71.15*(1-Z1%)</f>
        <v>71.15</v>
      </c>
      <c r="F3698" s="2">
        <v>4</v>
      </c>
      <c r="G3698" s="2"/>
    </row>
    <row r="3699" spans="1:26" customHeight="1" ht="18" hidden="true" outlineLevel="4">
      <c r="A3699" s="2" t="s">
        <v>6932</v>
      </c>
      <c r="B3699" s="3" t="s">
        <v>6933</v>
      </c>
      <c r="C3699" s="2"/>
      <c r="D3699" s="2" t="s">
        <v>16</v>
      </c>
      <c r="E3699" s="4">
        <f>93.15*(1-Z1%)</f>
        <v>93.15</v>
      </c>
      <c r="F3699" s="2">
        <v>2</v>
      </c>
      <c r="G3699" s="2"/>
    </row>
    <row r="3700" spans="1:26" customHeight="1" ht="36" hidden="true" outlineLevel="4">
      <c r="A3700" s="2" t="s">
        <v>6934</v>
      </c>
      <c r="B3700" s="3" t="s">
        <v>6935</v>
      </c>
      <c r="C3700" s="2"/>
      <c r="D3700" s="2" t="s">
        <v>16</v>
      </c>
      <c r="E3700" s="4">
        <f>73.60*(1-Z1%)</f>
        <v>73.6</v>
      </c>
      <c r="F3700" s="2">
        <v>4</v>
      </c>
      <c r="G3700" s="2"/>
    </row>
    <row r="3701" spans="1:26" customHeight="1" ht="18" hidden="true" outlineLevel="4">
      <c r="A3701" s="2" t="s">
        <v>6936</v>
      </c>
      <c r="B3701" s="3" t="s">
        <v>6937</v>
      </c>
      <c r="C3701" s="2"/>
      <c r="D3701" s="2" t="s">
        <v>16</v>
      </c>
      <c r="E3701" s="4">
        <f>100.24*(1-Z1%)</f>
        <v>100.24</v>
      </c>
      <c r="F3701" s="2">
        <v>7</v>
      </c>
      <c r="G3701" s="2"/>
    </row>
    <row r="3702" spans="1:26" customHeight="1" ht="18" hidden="true" outlineLevel="4">
      <c r="A3702" s="2" t="s">
        <v>6938</v>
      </c>
      <c r="B3702" s="3" t="s">
        <v>6939</v>
      </c>
      <c r="C3702" s="2"/>
      <c r="D3702" s="2" t="s">
        <v>16</v>
      </c>
      <c r="E3702" s="4">
        <f>83.03*(1-Z1%)</f>
        <v>83.03</v>
      </c>
      <c r="F3702" s="2">
        <v>3</v>
      </c>
      <c r="G3702" s="2"/>
    </row>
    <row r="3703" spans="1:26" customHeight="1" ht="36" hidden="true" outlineLevel="4">
      <c r="A3703" s="2" t="s">
        <v>6940</v>
      </c>
      <c r="B3703" s="3" t="s">
        <v>6941</v>
      </c>
      <c r="C3703" s="2"/>
      <c r="D3703" s="2" t="s">
        <v>16</v>
      </c>
      <c r="E3703" s="4">
        <f>65.02*(1-Z1%)</f>
        <v>65.02</v>
      </c>
      <c r="F3703" s="2">
        <v>4</v>
      </c>
      <c r="G3703" s="2"/>
    </row>
    <row r="3704" spans="1:26" customHeight="1" ht="18" hidden="true" outlineLevel="4">
      <c r="A3704" s="2" t="s">
        <v>6942</v>
      </c>
      <c r="B3704" s="3" t="s">
        <v>6943</v>
      </c>
      <c r="C3704" s="2"/>
      <c r="D3704" s="2" t="s">
        <v>16</v>
      </c>
      <c r="E3704" s="4">
        <f>59.74*(1-Z1%)</f>
        <v>59.74</v>
      </c>
      <c r="F3704" s="2">
        <v>3</v>
      </c>
      <c r="G3704" s="2"/>
    </row>
    <row r="3705" spans="1:26" customHeight="1" ht="36" hidden="true" outlineLevel="4">
      <c r="A3705" s="2" t="s">
        <v>6944</v>
      </c>
      <c r="B3705" s="3" t="s">
        <v>6945</v>
      </c>
      <c r="C3705" s="2"/>
      <c r="D3705" s="2" t="s">
        <v>16</v>
      </c>
      <c r="E3705" s="4">
        <f>83.40*(1-Z1%)</f>
        <v>83.4</v>
      </c>
      <c r="F3705" s="2">
        <v>4</v>
      </c>
      <c r="G3705" s="2"/>
    </row>
    <row r="3706" spans="1:26" customHeight="1" ht="18" hidden="true" outlineLevel="4">
      <c r="A3706" s="2" t="s">
        <v>6946</v>
      </c>
      <c r="B3706" s="3" t="s">
        <v>6947</v>
      </c>
      <c r="C3706" s="2"/>
      <c r="D3706" s="2" t="s">
        <v>16</v>
      </c>
      <c r="E3706" s="4">
        <f>75.94*(1-Z1%)</f>
        <v>75.94</v>
      </c>
      <c r="F3706" s="2">
        <v>2</v>
      </c>
      <c r="G3706" s="2"/>
    </row>
    <row r="3707" spans="1:26" customHeight="1" ht="36" hidden="true" outlineLevel="4">
      <c r="A3707" s="2" t="s">
        <v>6948</v>
      </c>
      <c r="B3707" s="3" t="s">
        <v>6949</v>
      </c>
      <c r="C3707" s="2"/>
      <c r="D3707" s="2" t="s">
        <v>16</v>
      </c>
      <c r="E3707" s="4">
        <f>82.18*(1-Z1%)</f>
        <v>82.18</v>
      </c>
      <c r="F3707" s="2">
        <v>4</v>
      </c>
      <c r="G3707" s="2"/>
    </row>
    <row r="3708" spans="1:26" customHeight="1" ht="18" hidden="true" outlineLevel="4">
      <c r="A3708" s="2" t="s">
        <v>6950</v>
      </c>
      <c r="B3708" s="3" t="s">
        <v>6951</v>
      </c>
      <c r="C3708" s="2"/>
      <c r="D3708" s="2" t="s">
        <v>16</v>
      </c>
      <c r="E3708" s="4">
        <f>119.48*(1-Z1%)</f>
        <v>119.48</v>
      </c>
      <c r="F3708" s="2">
        <v>4</v>
      </c>
      <c r="G3708" s="2"/>
    </row>
    <row r="3709" spans="1:26" customHeight="1" ht="18" hidden="true" outlineLevel="4">
      <c r="A3709" s="2" t="s">
        <v>6952</v>
      </c>
      <c r="B3709" s="3" t="s">
        <v>6953</v>
      </c>
      <c r="C3709" s="2"/>
      <c r="D3709" s="2" t="s">
        <v>16</v>
      </c>
      <c r="E3709" s="4">
        <f>185.97*(1-Z1%)</f>
        <v>185.97</v>
      </c>
      <c r="F3709" s="2">
        <v>3</v>
      </c>
      <c r="G3709" s="2"/>
    </row>
    <row r="3710" spans="1:26" customHeight="1" ht="35" hidden="true" outlineLevel="4">
      <c r="A3710" s="5" t="s">
        <v>6954</v>
      </c>
      <c r="B3710" s="5"/>
      <c r="C3710" s="5"/>
      <c r="D3710" s="5"/>
      <c r="E3710" s="5"/>
      <c r="F3710" s="5"/>
      <c r="G3710" s="5"/>
    </row>
    <row r="3711" spans="1:26" customHeight="1" ht="18" hidden="true" outlineLevel="4">
      <c r="A3711" s="2" t="s">
        <v>6955</v>
      </c>
      <c r="B3711" s="3" t="s">
        <v>6956</v>
      </c>
      <c r="C3711" s="2"/>
      <c r="D3711" s="2" t="s">
        <v>16</v>
      </c>
      <c r="E3711" s="4">
        <f>62.82*(1-Z1%)</f>
        <v>62.82</v>
      </c>
      <c r="F3711" s="2">
        <v>4</v>
      </c>
      <c r="G3711" s="2"/>
    </row>
    <row r="3712" spans="1:26" customHeight="1" ht="18" hidden="true" outlineLevel="4">
      <c r="A3712" s="2" t="s">
        <v>6957</v>
      </c>
      <c r="B3712" s="3" t="s">
        <v>6958</v>
      </c>
      <c r="C3712" s="2"/>
      <c r="D3712" s="2" t="s">
        <v>16</v>
      </c>
      <c r="E3712" s="4">
        <f>95.45*(1-Z1%)</f>
        <v>95.45</v>
      </c>
      <c r="F3712" s="2">
        <v>1</v>
      </c>
      <c r="G3712" s="2"/>
    </row>
    <row r="3713" spans="1:26" customHeight="1" ht="35" hidden="true" outlineLevel="4">
      <c r="A3713" s="5" t="s">
        <v>6959</v>
      </c>
      <c r="B3713" s="5"/>
      <c r="C3713" s="5"/>
      <c r="D3713" s="5"/>
      <c r="E3713" s="5"/>
      <c r="F3713" s="5"/>
      <c r="G3713" s="5"/>
    </row>
    <row r="3714" spans="1:26" customHeight="1" ht="18" hidden="true" outlineLevel="4">
      <c r="A3714" s="2" t="s">
        <v>6960</v>
      </c>
      <c r="B3714" s="3" t="s">
        <v>6961</v>
      </c>
      <c r="C3714" s="2"/>
      <c r="D3714" s="2" t="s">
        <v>16</v>
      </c>
      <c r="E3714" s="4">
        <f>173.65*(1-Z1%)</f>
        <v>173.65</v>
      </c>
      <c r="F3714" s="2">
        <v>3</v>
      </c>
      <c r="G3714" s="2"/>
    </row>
    <row r="3715" spans="1:26" customHeight="1" ht="18" hidden="true" outlineLevel="4">
      <c r="A3715" s="2" t="s">
        <v>6962</v>
      </c>
      <c r="B3715" s="3" t="s">
        <v>6963</v>
      </c>
      <c r="C3715" s="2"/>
      <c r="D3715" s="2" t="s">
        <v>16</v>
      </c>
      <c r="E3715" s="4">
        <f>436.31*(1-Z1%)</f>
        <v>436.31</v>
      </c>
      <c r="F3715" s="2">
        <v>2</v>
      </c>
      <c r="G3715" s="2"/>
    </row>
    <row r="3716" spans="1:26" customHeight="1" ht="18" hidden="true" outlineLevel="4">
      <c r="A3716" s="2" t="s">
        <v>6964</v>
      </c>
      <c r="B3716" s="3" t="s">
        <v>6965</v>
      </c>
      <c r="C3716" s="2"/>
      <c r="D3716" s="2" t="s">
        <v>16</v>
      </c>
      <c r="E3716" s="4">
        <f>246.81*(1-Z1%)</f>
        <v>246.81</v>
      </c>
      <c r="F3716" s="2">
        <v>3</v>
      </c>
      <c r="G3716" s="2"/>
    </row>
    <row r="3717" spans="1:26" customHeight="1" ht="18" hidden="true" outlineLevel="4">
      <c r="A3717" s="2" t="s">
        <v>6966</v>
      </c>
      <c r="B3717" s="3" t="s">
        <v>6967</v>
      </c>
      <c r="C3717" s="2"/>
      <c r="D3717" s="2" t="s">
        <v>16</v>
      </c>
      <c r="E3717" s="4">
        <f>247.26*(1-Z1%)</f>
        <v>247.26</v>
      </c>
      <c r="F3717" s="2">
        <v>1</v>
      </c>
      <c r="G3717" s="2"/>
    </row>
    <row r="3718" spans="1:26" customHeight="1" ht="18" hidden="true" outlineLevel="4">
      <c r="A3718" s="2" t="s">
        <v>6968</v>
      </c>
      <c r="B3718" s="3" t="s">
        <v>6969</v>
      </c>
      <c r="C3718" s="2"/>
      <c r="D3718" s="2" t="s">
        <v>16</v>
      </c>
      <c r="E3718" s="4">
        <f>430.65*(1-Z1%)</f>
        <v>430.65</v>
      </c>
      <c r="F3718" s="2">
        <v>2</v>
      </c>
      <c r="G3718" s="2"/>
    </row>
    <row r="3719" spans="1:26" customHeight="1" ht="18" hidden="true" outlineLevel="4">
      <c r="A3719" s="2" t="s">
        <v>6970</v>
      </c>
      <c r="B3719" s="3" t="s">
        <v>6971</v>
      </c>
      <c r="C3719" s="2"/>
      <c r="D3719" s="2" t="s">
        <v>16</v>
      </c>
      <c r="E3719" s="4">
        <f>181.05*(1-Z1%)</f>
        <v>181.05</v>
      </c>
      <c r="F3719" s="2">
        <v>1</v>
      </c>
      <c r="G3719" s="2"/>
    </row>
    <row r="3720" spans="1:26" customHeight="1" ht="18" hidden="true" outlineLevel="4">
      <c r="A3720" s="2" t="s">
        <v>6972</v>
      </c>
      <c r="B3720" s="3" t="s">
        <v>6973</v>
      </c>
      <c r="C3720" s="2"/>
      <c r="D3720" s="2" t="s">
        <v>16</v>
      </c>
      <c r="E3720" s="4">
        <f>312.24*(1-Z1%)</f>
        <v>312.24</v>
      </c>
      <c r="F3720" s="2">
        <v>3</v>
      </c>
      <c r="G3720" s="2"/>
    </row>
    <row r="3721" spans="1:26" customHeight="1" ht="35" hidden="true" outlineLevel="4">
      <c r="A3721" s="5" t="s">
        <v>6974</v>
      </c>
      <c r="B3721" s="5"/>
      <c r="C3721" s="5"/>
      <c r="D3721" s="5"/>
      <c r="E3721" s="5"/>
      <c r="F3721" s="5"/>
      <c r="G3721" s="5"/>
    </row>
    <row r="3722" spans="1:26" customHeight="1" ht="36" hidden="true" outlineLevel="4">
      <c r="A3722" s="2" t="s">
        <v>6975</v>
      </c>
      <c r="B3722" s="3" t="s">
        <v>6976</v>
      </c>
      <c r="C3722" s="2"/>
      <c r="D3722" s="2" t="s">
        <v>16</v>
      </c>
      <c r="E3722" s="4">
        <f>88.17*(1-Z1%)</f>
        <v>88.17</v>
      </c>
      <c r="F3722" s="2">
        <v>1</v>
      </c>
      <c r="G3722" s="2"/>
    </row>
    <row r="3723" spans="1:26" customHeight="1" ht="35" hidden="true" outlineLevel="3">
      <c r="A3723" s="5" t="s">
        <v>6977</v>
      </c>
      <c r="B3723" s="5"/>
      <c r="C3723" s="5"/>
      <c r="D3723" s="5"/>
      <c r="E3723" s="5"/>
      <c r="F3723" s="5"/>
      <c r="G3723" s="5"/>
    </row>
    <row r="3724" spans="1:26" customHeight="1" ht="18" hidden="true" outlineLevel="3">
      <c r="A3724" s="2" t="s">
        <v>6978</v>
      </c>
      <c r="B3724" s="3" t="s">
        <v>6979</v>
      </c>
      <c r="C3724" s="2"/>
      <c r="D3724" s="2" t="s">
        <v>16</v>
      </c>
      <c r="E3724" s="4">
        <f>32.34*(1-Z1%)</f>
        <v>32.34</v>
      </c>
      <c r="F3724" s="2">
        <v>5</v>
      </c>
      <c r="G3724" s="2"/>
    </row>
    <row r="3725" spans="1:26" customHeight="1" ht="18" hidden="true" outlineLevel="3">
      <c r="A3725" s="2" t="s">
        <v>6980</v>
      </c>
      <c r="B3725" s="3" t="s">
        <v>6981</v>
      </c>
      <c r="C3725" s="2"/>
      <c r="D3725" s="2" t="s">
        <v>16</v>
      </c>
      <c r="E3725" s="4">
        <f>24.56*(1-Z1%)</f>
        <v>24.56</v>
      </c>
      <c r="F3725" s="2">
        <v>5</v>
      </c>
      <c r="G3725" s="2"/>
    </row>
    <row r="3726" spans="1:26" customHeight="1" ht="18" hidden="true" outlineLevel="3">
      <c r="A3726" s="2" t="s">
        <v>6982</v>
      </c>
      <c r="B3726" s="3" t="s">
        <v>6983</v>
      </c>
      <c r="C3726" s="2"/>
      <c r="D3726" s="2" t="s">
        <v>16</v>
      </c>
      <c r="E3726" s="4">
        <f>26.46*(1-Z1%)</f>
        <v>26.46</v>
      </c>
      <c r="F3726" s="2">
        <v>5</v>
      </c>
      <c r="G3726" s="2"/>
    </row>
    <row r="3727" spans="1:26" customHeight="1" ht="35" hidden="true" outlineLevel="3">
      <c r="A3727" s="5" t="s">
        <v>6984</v>
      </c>
      <c r="B3727" s="5"/>
      <c r="C3727" s="5"/>
      <c r="D3727" s="5"/>
      <c r="E3727" s="5"/>
      <c r="F3727" s="5"/>
      <c r="G3727" s="5"/>
    </row>
    <row r="3728" spans="1:26" customHeight="1" ht="18" hidden="true" outlineLevel="3">
      <c r="A3728" s="2" t="s">
        <v>6985</v>
      </c>
      <c r="B3728" s="3" t="s">
        <v>6986</v>
      </c>
      <c r="C3728" s="2"/>
      <c r="D3728" s="2" t="s">
        <v>16</v>
      </c>
      <c r="E3728" s="4">
        <f>89.36*(1-Z1%)</f>
        <v>89.36</v>
      </c>
      <c r="F3728" s="2">
        <v>19</v>
      </c>
      <c r="G3728" s="2"/>
    </row>
    <row r="3729" spans="1:26" customHeight="1" ht="35" hidden="true" outlineLevel="3">
      <c r="A3729" s="5" t="s">
        <v>6987</v>
      </c>
      <c r="B3729" s="5"/>
      <c r="C3729" s="5"/>
      <c r="D3729" s="5"/>
      <c r="E3729" s="5"/>
      <c r="F3729" s="5"/>
      <c r="G3729" s="5"/>
    </row>
    <row r="3730" spans="1:26" customHeight="1" ht="18" hidden="true" outlineLevel="3">
      <c r="A3730" s="2" t="s">
        <v>6988</v>
      </c>
      <c r="B3730" s="3" t="s">
        <v>6989</v>
      </c>
      <c r="C3730" s="2"/>
      <c r="D3730" s="2" t="s">
        <v>16</v>
      </c>
      <c r="E3730" s="4">
        <f>249.32*(1-Z1%)</f>
        <v>249.32</v>
      </c>
      <c r="F3730" s="2">
        <v>10</v>
      </c>
      <c r="G3730" s="2"/>
    </row>
    <row r="3731" spans="1:26" customHeight="1" ht="18" hidden="true" outlineLevel="3">
      <c r="A3731" s="2" t="s">
        <v>6990</v>
      </c>
      <c r="B3731" s="3" t="s">
        <v>6991</v>
      </c>
      <c r="C3731" s="2"/>
      <c r="D3731" s="2" t="s">
        <v>16</v>
      </c>
      <c r="E3731" s="4">
        <f>254.20*(1-Z1%)</f>
        <v>254.2</v>
      </c>
      <c r="F3731" s="2">
        <v>5</v>
      </c>
      <c r="G3731" s="2"/>
    </row>
    <row r="3732" spans="1:26" customHeight="1" ht="18" hidden="true" outlineLevel="3">
      <c r="A3732" s="2" t="s">
        <v>6992</v>
      </c>
      <c r="B3732" s="3" t="s">
        <v>6993</v>
      </c>
      <c r="C3732" s="2"/>
      <c r="D3732" s="2" t="s">
        <v>16</v>
      </c>
      <c r="E3732" s="4">
        <f>265.74*(1-Z1%)</f>
        <v>265.74</v>
      </c>
      <c r="F3732" s="2">
        <v>5</v>
      </c>
      <c r="G3732" s="2"/>
    </row>
    <row r="3733" spans="1:26" customHeight="1" ht="18" hidden="true" outlineLevel="3">
      <c r="A3733" s="2" t="s">
        <v>6994</v>
      </c>
      <c r="B3733" s="3" t="s">
        <v>6995</v>
      </c>
      <c r="C3733" s="2"/>
      <c r="D3733" s="2" t="s">
        <v>16</v>
      </c>
      <c r="E3733" s="4">
        <f>280.18*(1-Z1%)</f>
        <v>280.18</v>
      </c>
      <c r="F3733" s="2">
        <v>6</v>
      </c>
      <c r="G3733" s="2"/>
    </row>
    <row r="3734" spans="1:26" customHeight="1" ht="18" hidden="true" outlineLevel="3">
      <c r="A3734" s="2" t="s">
        <v>6996</v>
      </c>
      <c r="B3734" s="3" t="s">
        <v>6997</v>
      </c>
      <c r="C3734" s="2"/>
      <c r="D3734" s="2" t="s">
        <v>16</v>
      </c>
      <c r="E3734" s="4">
        <f>310.36*(1-Z1%)</f>
        <v>310.36</v>
      </c>
      <c r="F3734" s="2">
        <v>1</v>
      </c>
      <c r="G3734" s="2"/>
    </row>
    <row r="3735" spans="1:26" customHeight="1" ht="18" hidden="true" outlineLevel="3">
      <c r="A3735" s="2" t="s">
        <v>6998</v>
      </c>
      <c r="B3735" s="3" t="s">
        <v>6999</v>
      </c>
      <c r="C3735" s="2"/>
      <c r="D3735" s="2" t="s">
        <v>16</v>
      </c>
      <c r="E3735" s="4">
        <f>183.13*(1-Z1%)</f>
        <v>183.13</v>
      </c>
      <c r="F3735" s="2">
        <v>2</v>
      </c>
      <c r="G3735" s="2"/>
    </row>
    <row r="3736" spans="1:26" customHeight="1" ht="18" hidden="true" outlineLevel="3">
      <c r="A3736" s="2" t="s">
        <v>7000</v>
      </c>
      <c r="B3736" s="3" t="s">
        <v>7001</v>
      </c>
      <c r="C3736" s="2"/>
      <c r="D3736" s="2" t="s">
        <v>16</v>
      </c>
      <c r="E3736" s="4">
        <f>385.93*(1-Z1%)</f>
        <v>385.93</v>
      </c>
      <c r="F3736" s="2">
        <v>2</v>
      </c>
      <c r="G3736" s="2"/>
    </row>
    <row r="3737" spans="1:26" customHeight="1" ht="18" hidden="true" outlineLevel="3">
      <c r="A3737" s="2" t="s">
        <v>7002</v>
      </c>
      <c r="B3737" s="3" t="s">
        <v>7003</v>
      </c>
      <c r="C3737" s="2"/>
      <c r="D3737" s="2" t="s">
        <v>16</v>
      </c>
      <c r="E3737" s="4">
        <f>406.82*(1-Z1%)</f>
        <v>406.82</v>
      </c>
      <c r="F3737" s="2">
        <v>2</v>
      </c>
      <c r="G3737" s="2"/>
    </row>
    <row r="3738" spans="1:26" customHeight="1" ht="18" hidden="true" outlineLevel="3">
      <c r="A3738" s="2" t="s">
        <v>7004</v>
      </c>
      <c r="B3738" s="3" t="s">
        <v>7005</v>
      </c>
      <c r="C3738" s="2"/>
      <c r="D3738" s="2" t="s">
        <v>16</v>
      </c>
      <c r="E3738" s="4">
        <f>521.13*(1-Z1%)</f>
        <v>521.13</v>
      </c>
      <c r="F3738" s="2">
        <v>2</v>
      </c>
      <c r="G3738" s="2"/>
    </row>
    <row r="3739" spans="1:26" customHeight="1" ht="18" hidden="true" outlineLevel="3">
      <c r="A3739" s="2" t="s">
        <v>7006</v>
      </c>
      <c r="B3739" s="3" t="s">
        <v>7007</v>
      </c>
      <c r="C3739" s="2"/>
      <c r="D3739" s="2" t="s">
        <v>16</v>
      </c>
      <c r="E3739" s="4">
        <f>539.56*(1-Z1%)</f>
        <v>539.56</v>
      </c>
      <c r="F3739" s="2">
        <v>2</v>
      </c>
      <c r="G3739" s="2"/>
    </row>
    <row r="3740" spans="1:26" customHeight="1" ht="18" hidden="true" outlineLevel="3">
      <c r="A3740" s="2" t="s">
        <v>7008</v>
      </c>
      <c r="B3740" s="3" t="s">
        <v>7009</v>
      </c>
      <c r="C3740" s="2"/>
      <c r="D3740" s="2" t="s">
        <v>16</v>
      </c>
      <c r="E3740" s="4">
        <f>165.81*(1-Z1%)</f>
        <v>165.81</v>
      </c>
      <c r="F3740" s="2">
        <v>11</v>
      </c>
      <c r="G3740" s="2"/>
    </row>
    <row r="3741" spans="1:26" customHeight="1" ht="18" hidden="true" outlineLevel="3">
      <c r="A3741" s="2" t="s">
        <v>7010</v>
      </c>
      <c r="B3741" s="3" t="s">
        <v>7011</v>
      </c>
      <c r="C3741" s="2"/>
      <c r="D3741" s="2" t="s">
        <v>16</v>
      </c>
      <c r="E3741" s="4">
        <f>253.19*(1-Z1%)</f>
        <v>253.19</v>
      </c>
      <c r="F3741" s="2">
        <v>2</v>
      </c>
      <c r="G3741" s="2"/>
    </row>
    <row r="3742" spans="1:26" customHeight="1" ht="18" hidden="true" outlineLevel="3">
      <c r="A3742" s="2" t="s">
        <v>7012</v>
      </c>
      <c r="B3742" s="3" t="s">
        <v>7013</v>
      </c>
      <c r="C3742" s="2"/>
      <c r="D3742" s="2" t="s">
        <v>16</v>
      </c>
      <c r="E3742" s="4">
        <f>370.01*(1-Z1%)</f>
        <v>370.01</v>
      </c>
      <c r="F3742" s="2">
        <v>2</v>
      </c>
      <c r="G3742" s="2"/>
    </row>
    <row r="3743" spans="1:26" customHeight="1" ht="18" hidden="true" outlineLevel="3">
      <c r="A3743" s="2" t="s">
        <v>7014</v>
      </c>
      <c r="B3743" s="3" t="s">
        <v>7015</v>
      </c>
      <c r="C3743" s="2"/>
      <c r="D3743" s="2" t="s">
        <v>16</v>
      </c>
      <c r="E3743" s="4">
        <f>403.65*(1-Z1%)</f>
        <v>403.65</v>
      </c>
      <c r="F3743" s="2">
        <v>3</v>
      </c>
      <c r="G3743" s="2"/>
    </row>
    <row r="3744" spans="1:26" customHeight="1" ht="36" hidden="true" outlineLevel="3">
      <c r="A3744" s="2" t="s">
        <v>7016</v>
      </c>
      <c r="B3744" s="3" t="s">
        <v>7017</v>
      </c>
      <c r="C3744" s="2"/>
      <c r="D3744" s="2" t="s">
        <v>16</v>
      </c>
      <c r="E3744" s="4">
        <f>256.36*(1-Z1%)</f>
        <v>256.36</v>
      </c>
      <c r="F3744" s="2">
        <v>6</v>
      </c>
      <c r="G3744" s="2"/>
    </row>
    <row r="3745" spans="1:26" customHeight="1" ht="35" hidden="true" outlineLevel="3">
      <c r="A3745" s="5" t="s">
        <v>7018</v>
      </c>
      <c r="B3745" s="5"/>
      <c r="C3745" s="5"/>
      <c r="D3745" s="5"/>
      <c r="E3745" s="5"/>
      <c r="F3745" s="5"/>
      <c r="G3745" s="5"/>
    </row>
    <row r="3746" spans="1:26" customHeight="1" ht="18" hidden="true" outlineLevel="3">
      <c r="A3746" s="2" t="s">
        <v>7019</v>
      </c>
      <c r="B3746" s="3" t="s">
        <v>7020</v>
      </c>
      <c r="C3746" s="2"/>
      <c r="D3746" s="2" t="s">
        <v>16</v>
      </c>
      <c r="E3746" s="4">
        <f>170.47*(1-Z1%)</f>
        <v>170.47</v>
      </c>
      <c r="F3746" s="2">
        <v>1</v>
      </c>
      <c r="G3746" s="2"/>
    </row>
    <row r="3747" spans="1:26" customHeight="1" ht="18" hidden="true" outlineLevel="3">
      <c r="A3747" s="2" t="s">
        <v>7021</v>
      </c>
      <c r="B3747" s="3" t="s">
        <v>7022</v>
      </c>
      <c r="C3747" s="2"/>
      <c r="D3747" s="2" t="s">
        <v>16</v>
      </c>
      <c r="E3747" s="4">
        <f>393.53*(1-Z1%)</f>
        <v>393.53</v>
      </c>
      <c r="F3747" s="2">
        <v>7</v>
      </c>
      <c r="G3747" s="2"/>
    </row>
    <row r="3748" spans="1:26" customHeight="1" ht="18" hidden="true" outlineLevel="3">
      <c r="A3748" s="2" t="s">
        <v>7023</v>
      </c>
      <c r="B3748" s="3" t="s">
        <v>7024</v>
      </c>
      <c r="C3748" s="2"/>
      <c r="D3748" s="2" t="s">
        <v>16</v>
      </c>
      <c r="E3748" s="4">
        <f>190.02*(1-Z1%)</f>
        <v>190.02</v>
      </c>
      <c r="F3748" s="2">
        <v>4</v>
      </c>
      <c r="G3748" s="2"/>
    </row>
    <row r="3749" spans="1:26" customHeight="1" ht="18" hidden="true" outlineLevel="3">
      <c r="A3749" s="2" t="s">
        <v>7025</v>
      </c>
      <c r="B3749" s="3" t="s">
        <v>7026</v>
      </c>
      <c r="C3749" s="2"/>
      <c r="D3749" s="2" t="s">
        <v>16</v>
      </c>
      <c r="E3749" s="4">
        <f>224.54*(1-Z1%)</f>
        <v>224.54</v>
      </c>
      <c r="F3749" s="2">
        <v>3</v>
      </c>
      <c r="G3749" s="2"/>
    </row>
    <row r="3750" spans="1:26" customHeight="1" ht="18" hidden="true" outlineLevel="3">
      <c r="A3750" s="2" t="s">
        <v>7027</v>
      </c>
      <c r="B3750" s="3" t="s">
        <v>7028</v>
      </c>
      <c r="C3750" s="2"/>
      <c r="D3750" s="2" t="s">
        <v>16</v>
      </c>
      <c r="E3750" s="4">
        <f>318.59*(1-Z1%)</f>
        <v>318.59</v>
      </c>
      <c r="F3750" s="2">
        <v>3</v>
      </c>
      <c r="G3750" s="2"/>
    </row>
    <row r="3751" spans="1:26" customHeight="1" ht="35" hidden="true" outlineLevel="2">
      <c r="A3751" s="5" t="s">
        <v>7029</v>
      </c>
      <c r="B3751" s="5"/>
      <c r="C3751" s="5"/>
      <c r="D3751" s="5"/>
      <c r="E3751" s="5"/>
      <c r="F3751" s="5"/>
      <c r="G3751" s="5"/>
    </row>
    <row r="3752" spans="1:26" customHeight="1" ht="35" hidden="true" outlineLevel="3">
      <c r="A3752" s="5" t="s">
        <v>7030</v>
      </c>
      <c r="B3752" s="5"/>
      <c r="C3752" s="5"/>
      <c r="D3752" s="5"/>
      <c r="E3752" s="5"/>
      <c r="F3752" s="5"/>
      <c r="G3752" s="5"/>
    </row>
    <row r="3753" spans="1:26" customHeight="1" ht="18" hidden="true" outlineLevel="3">
      <c r="A3753" s="2" t="s">
        <v>7031</v>
      </c>
      <c r="B3753" s="3" t="s">
        <v>7032</v>
      </c>
      <c r="C3753" s="2"/>
      <c r="D3753" s="2" t="s">
        <v>16</v>
      </c>
      <c r="E3753" s="4">
        <f>253.30*(1-Z1%)</f>
        <v>253.3</v>
      </c>
      <c r="F3753" s="2">
        <v>5</v>
      </c>
      <c r="G3753" s="2"/>
    </row>
    <row r="3754" spans="1:26" customHeight="1" ht="54" hidden="true" outlineLevel="3">
      <c r="A3754" s="2" t="s">
        <v>7033</v>
      </c>
      <c r="B3754" s="3" t="s">
        <v>7034</v>
      </c>
      <c r="C3754" s="2"/>
      <c r="D3754" s="2" t="s">
        <v>16</v>
      </c>
      <c r="E3754" s="4">
        <f>968.30*(1-Z1%)</f>
        <v>968.3</v>
      </c>
      <c r="F3754" s="2">
        <v>1</v>
      </c>
      <c r="G3754" s="2"/>
    </row>
    <row r="3755" spans="1:26" customHeight="1" ht="54" hidden="true" outlineLevel="3">
      <c r="A3755" s="2" t="s">
        <v>7035</v>
      </c>
      <c r="B3755" s="3" t="s">
        <v>7036</v>
      </c>
      <c r="C3755" s="2"/>
      <c r="D3755" s="2" t="s">
        <v>16</v>
      </c>
      <c r="E3755" s="4">
        <f>781.40*(1-Z1%)</f>
        <v>781.4</v>
      </c>
      <c r="F3755" s="2">
        <v>1</v>
      </c>
      <c r="G3755" s="2"/>
    </row>
    <row r="3756" spans="1:26" customHeight="1" ht="18" hidden="true" outlineLevel="3">
      <c r="A3756" s="2" t="s">
        <v>7037</v>
      </c>
      <c r="B3756" s="3" t="s">
        <v>7038</v>
      </c>
      <c r="C3756" s="2"/>
      <c r="D3756" s="2" t="s">
        <v>16</v>
      </c>
      <c r="E3756" s="4">
        <f>1382.27*(1-Z1%)</f>
        <v>1382.27</v>
      </c>
      <c r="F3756" s="2">
        <v>1</v>
      </c>
      <c r="G3756" s="2"/>
    </row>
    <row r="3757" spans="1:26" customHeight="1" ht="18" hidden="true" outlineLevel="3">
      <c r="A3757" s="2" t="s">
        <v>7039</v>
      </c>
      <c r="B3757" s="3" t="s">
        <v>7040</v>
      </c>
      <c r="C3757" s="2"/>
      <c r="D3757" s="2" t="s">
        <v>16</v>
      </c>
      <c r="E3757" s="4">
        <f>1934.25*(1-Z1%)</f>
        <v>1934.25</v>
      </c>
      <c r="F3757" s="2">
        <v>1</v>
      </c>
      <c r="G3757" s="2"/>
    </row>
    <row r="3758" spans="1:26" customHeight="1" ht="18" hidden="true" outlineLevel="3">
      <c r="A3758" s="2" t="s">
        <v>7041</v>
      </c>
      <c r="B3758" s="3" t="s">
        <v>7042</v>
      </c>
      <c r="C3758" s="2"/>
      <c r="D3758" s="2" t="s">
        <v>16</v>
      </c>
      <c r="E3758" s="4">
        <f>223.25*(1-Z1%)</f>
        <v>223.25</v>
      </c>
      <c r="F3758" s="2">
        <v>6</v>
      </c>
      <c r="G3758" s="2"/>
    </row>
    <row r="3759" spans="1:26" customHeight="1" ht="18" hidden="true" outlineLevel="3">
      <c r="A3759" s="2" t="s">
        <v>7043</v>
      </c>
      <c r="B3759" s="3" t="s">
        <v>7044</v>
      </c>
      <c r="C3759" s="2"/>
      <c r="D3759" s="2" t="s">
        <v>16</v>
      </c>
      <c r="E3759" s="4">
        <f>522.21*(1-Z1%)</f>
        <v>522.21</v>
      </c>
      <c r="F3759" s="2">
        <v>2</v>
      </c>
      <c r="G3759" s="2"/>
    </row>
    <row r="3760" spans="1:26" customHeight="1" ht="18" hidden="true" outlineLevel="3">
      <c r="A3760" s="2" t="s">
        <v>7045</v>
      </c>
      <c r="B3760" s="3" t="s">
        <v>7046</v>
      </c>
      <c r="C3760" s="2"/>
      <c r="D3760" s="2" t="s">
        <v>16</v>
      </c>
      <c r="E3760" s="4">
        <f>724.17*(1-Z1%)</f>
        <v>724.17</v>
      </c>
      <c r="F3760" s="2">
        <v>1</v>
      </c>
      <c r="G3760" s="2"/>
    </row>
    <row r="3761" spans="1:26" customHeight="1" ht="35" hidden="true" outlineLevel="3">
      <c r="A3761" s="5" t="s">
        <v>7047</v>
      </c>
      <c r="B3761" s="5"/>
      <c r="C3761" s="5"/>
      <c r="D3761" s="5"/>
      <c r="E3761" s="5"/>
      <c r="F3761" s="5"/>
      <c r="G3761" s="5"/>
    </row>
    <row r="3762" spans="1:26" customHeight="1" ht="18" hidden="true" outlineLevel="3">
      <c r="A3762" s="2" t="s">
        <v>7048</v>
      </c>
      <c r="B3762" s="3" t="s">
        <v>7049</v>
      </c>
      <c r="C3762" s="2"/>
      <c r="D3762" s="2" t="s">
        <v>16</v>
      </c>
      <c r="E3762" s="4">
        <f>267.08*(1-Z1%)</f>
        <v>267.08</v>
      </c>
      <c r="F3762" s="2">
        <v>1</v>
      </c>
      <c r="G3762" s="2"/>
    </row>
    <row r="3763" spans="1:26" customHeight="1" ht="18" hidden="true" outlineLevel="3">
      <c r="A3763" s="2" t="s">
        <v>7050</v>
      </c>
      <c r="B3763" s="3" t="s">
        <v>7051</v>
      </c>
      <c r="C3763" s="2"/>
      <c r="D3763" s="2" t="s">
        <v>16</v>
      </c>
      <c r="E3763" s="4">
        <f>435.94*(1-Z1%)</f>
        <v>435.94</v>
      </c>
      <c r="F3763" s="2">
        <v>3</v>
      </c>
      <c r="G3763" s="2"/>
    </row>
    <row r="3764" spans="1:26" customHeight="1" ht="36" hidden="true" outlineLevel="3">
      <c r="A3764" s="2" t="s">
        <v>7052</v>
      </c>
      <c r="B3764" s="3" t="s">
        <v>7053</v>
      </c>
      <c r="C3764" s="2"/>
      <c r="D3764" s="2" t="s">
        <v>16</v>
      </c>
      <c r="E3764" s="4">
        <f>234.00*(1-Z1%)</f>
        <v>234</v>
      </c>
      <c r="F3764" s="2">
        <v>2</v>
      </c>
      <c r="G3764" s="2"/>
    </row>
    <row r="3765" spans="1:26" customHeight="1" ht="18" hidden="true" outlineLevel="3">
      <c r="A3765" s="2" t="s">
        <v>7054</v>
      </c>
      <c r="B3765" s="3" t="s">
        <v>7055</v>
      </c>
      <c r="C3765" s="2"/>
      <c r="D3765" s="2" t="s">
        <v>16</v>
      </c>
      <c r="E3765" s="4">
        <f>263.66*(1-Z1%)</f>
        <v>263.66</v>
      </c>
      <c r="F3765" s="2">
        <v>1</v>
      </c>
      <c r="G3765" s="2"/>
    </row>
    <row r="3766" spans="1:26" customHeight="1" ht="36" hidden="true" outlineLevel="3">
      <c r="A3766" s="2" t="s">
        <v>7056</v>
      </c>
      <c r="B3766" s="3" t="s">
        <v>7057</v>
      </c>
      <c r="C3766" s="2"/>
      <c r="D3766" s="2" t="s">
        <v>16</v>
      </c>
      <c r="E3766" s="4">
        <f>180.32*(1-Z1%)</f>
        <v>180.32</v>
      </c>
      <c r="F3766" s="2">
        <v>1</v>
      </c>
      <c r="G3766" s="2"/>
    </row>
    <row r="3767" spans="1:26" customHeight="1" ht="18" hidden="true" outlineLevel="3">
      <c r="A3767" s="2" t="s">
        <v>7058</v>
      </c>
      <c r="B3767" s="3" t="s">
        <v>7059</v>
      </c>
      <c r="C3767" s="2"/>
      <c r="D3767" s="2" t="s">
        <v>16</v>
      </c>
      <c r="E3767" s="4">
        <f>199.20*(1-Z1%)</f>
        <v>199.2</v>
      </c>
      <c r="F3767" s="2">
        <v>10</v>
      </c>
      <c r="G3767" s="2"/>
    </row>
    <row r="3768" spans="1:26" customHeight="1" ht="18" hidden="true" outlineLevel="3">
      <c r="A3768" s="2" t="s">
        <v>7060</v>
      </c>
      <c r="B3768" s="3" t="s">
        <v>7061</v>
      </c>
      <c r="C3768" s="2"/>
      <c r="D3768" s="2" t="s">
        <v>16</v>
      </c>
      <c r="E3768" s="4">
        <f>158.88*(1-Z1%)</f>
        <v>158.88</v>
      </c>
      <c r="F3768" s="2">
        <v>1</v>
      </c>
      <c r="G3768" s="2"/>
    </row>
    <row r="3769" spans="1:26" customHeight="1" ht="36" hidden="true" outlineLevel="3">
      <c r="A3769" s="2" t="s">
        <v>7062</v>
      </c>
      <c r="B3769" s="3" t="s">
        <v>7063</v>
      </c>
      <c r="C3769" s="2"/>
      <c r="D3769" s="2" t="s">
        <v>16</v>
      </c>
      <c r="E3769" s="4">
        <f>219.09*(1-Z1%)</f>
        <v>219.09</v>
      </c>
      <c r="F3769" s="2">
        <v>3</v>
      </c>
      <c r="G3769" s="2"/>
    </row>
    <row r="3770" spans="1:26" customHeight="1" ht="36" hidden="true" outlineLevel="3">
      <c r="A3770" s="2" t="s">
        <v>7064</v>
      </c>
      <c r="B3770" s="3" t="s">
        <v>7065</v>
      </c>
      <c r="C3770" s="2"/>
      <c r="D3770" s="2" t="s">
        <v>16</v>
      </c>
      <c r="E3770" s="4">
        <f>164.70*(1-Z1%)</f>
        <v>164.7</v>
      </c>
      <c r="F3770" s="2">
        <v>2</v>
      </c>
      <c r="G3770" s="2"/>
    </row>
    <row r="3771" spans="1:26" customHeight="1" ht="35" hidden="true" outlineLevel="3">
      <c r="A3771" s="5" t="s">
        <v>7066</v>
      </c>
      <c r="B3771" s="5"/>
      <c r="C3771" s="5"/>
      <c r="D3771" s="5"/>
      <c r="E3771" s="5"/>
      <c r="F3771" s="5"/>
      <c r="G3771" s="5"/>
    </row>
    <row r="3772" spans="1:26" customHeight="1" ht="18" hidden="true" outlineLevel="3">
      <c r="A3772" s="2" t="s">
        <v>7067</v>
      </c>
      <c r="B3772" s="3" t="s">
        <v>7068</v>
      </c>
      <c r="C3772" s="2"/>
      <c r="D3772" s="2" t="s">
        <v>16</v>
      </c>
      <c r="E3772" s="4">
        <f>387.14*(1-Z1%)</f>
        <v>387.14</v>
      </c>
      <c r="F3772" s="2">
        <v>3</v>
      </c>
      <c r="G3772" s="2"/>
    </row>
    <row r="3773" spans="1:26" customHeight="1" ht="18" hidden="true" outlineLevel="3">
      <c r="A3773" s="2" t="s">
        <v>7069</v>
      </c>
      <c r="B3773" s="3" t="s">
        <v>7070</v>
      </c>
      <c r="C3773" s="2"/>
      <c r="D3773" s="2" t="s">
        <v>16</v>
      </c>
      <c r="E3773" s="4">
        <f>377.46*(1-Z1%)</f>
        <v>377.46</v>
      </c>
      <c r="F3773" s="2">
        <v>1</v>
      </c>
      <c r="G3773" s="2"/>
    </row>
    <row r="3774" spans="1:26" customHeight="1" ht="35" hidden="true" outlineLevel="3">
      <c r="A3774" s="5" t="s">
        <v>7071</v>
      </c>
      <c r="B3774" s="5"/>
      <c r="C3774" s="5"/>
      <c r="D3774" s="5"/>
      <c r="E3774" s="5"/>
      <c r="F3774" s="5"/>
      <c r="G3774" s="5"/>
    </row>
    <row r="3775" spans="1:26" customHeight="1" ht="18" hidden="true" outlineLevel="3">
      <c r="A3775" s="2" t="s">
        <v>7072</v>
      </c>
      <c r="B3775" s="3" t="s">
        <v>7073</v>
      </c>
      <c r="C3775" s="2"/>
      <c r="D3775" s="2" t="s">
        <v>16</v>
      </c>
      <c r="E3775" s="4">
        <f>361.41*(1-Z1%)</f>
        <v>361.41</v>
      </c>
      <c r="F3775" s="2">
        <v>2</v>
      </c>
      <c r="G3775" s="2"/>
    </row>
    <row r="3776" spans="1:26" customHeight="1" ht="36" hidden="true" outlineLevel="3">
      <c r="A3776" s="2" t="s">
        <v>7074</v>
      </c>
      <c r="B3776" s="3" t="s">
        <v>7075</v>
      </c>
      <c r="C3776" s="2"/>
      <c r="D3776" s="2" t="s">
        <v>16</v>
      </c>
      <c r="E3776" s="4">
        <f>523.47*(1-Z1%)</f>
        <v>523.47</v>
      </c>
      <c r="F3776" s="2">
        <v>3</v>
      </c>
      <c r="G3776" s="2"/>
    </row>
    <row r="3777" spans="1:26" customHeight="1" ht="36" hidden="true" outlineLevel="3">
      <c r="A3777" s="2" t="s">
        <v>7076</v>
      </c>
      <c r="B3777" s="3" t="s">
        <v>7077</v>
      </c>
      <c r="C3777" s="2"/>
      <c r="D3777" s="2" t="s">
        <v>16</v>
      </c>
      <c r="E3777" s="4">
        <f>373.28*(1-Z1%)</f>
        <v>373.28</v>
      </c>
      <c r="F3777" s="2">
        <v>3</v>
      </c>
      <c r="G3777" s="2"/>
    </row>
    <row r="3778" spans="1:26" customHeight="1" ht="35" hidden="true" outlineLevel="3">
      <c r="A3778" s="5" t="s">
        <v>7078</v>
      </c>
      <c r="B3778" s="5"/>
      <c r="C3778" s="5"/>
      <c r="D3778" s="5"/>
      <c r="E3778" s="5"/>
      <c r="F3778" s="5"/>
      <c r="G3778" s="5"/>
    </row>
    <row r="3779" spans="1:26" customHeight="1" ht="18" hidden="true" outlineLevel="3">
      <c r="A3779" s="2" t="s">
        <v>7079</v>
      </c>
      <c r="B3779" s="3" t="s">
        <v>7080</v>
      </c>
      <c r="C3779" s="2"/>
      <c r="D3779" s="2" t="s">
        <v>16</v>
      </c>
      <c r="E3779" s="4">
        <f>151.88*(1-Z1%)</f>
        <v>151.88</v>
      </c>
      <c r="F3779" s="2">
        <v>2</v>
      </c>
      <c r="G3779" s="2"/>
    </row>
    <row r="3780" spans="1:26" customHeight="1" ht="18" hidden="true" outlineLevel="3">
      <c r="A3780" s="2" t="s">
        <v>7081</v>
      </c>
      <c r="B3780" s="3" t="s">
        <v>7082</v>
      </c>
      <c r="C3780" s="2"/>
      <c r="D3780" s="2" t="s">
        <v>16</v>
      </c>
      <c r="E3780" s="4">
        <f>402.81*(1-Z1%)</f>
        <v>402.81</v>
      </c>
      <c r="F3780" s="2">
        <v>1</v>
      </c>
      <c r="G3780" s="2"/>
    </row>
    <row r="3781" spans="1:26" customHeight="1" ht="18" hidden="true" outlineLevel="3">
      <c r="A3781" s="2" t="s">
        <v>7083</v>
      </c>
      <c r="B3781" s="3" t="s">
        <v>7084</v>
      </c>
      <c r="C3781" s="2"/>
      <c r="D3781" s="2" t="s">
        <v>16</v>
      </c>
      <c r="E3781" s="4">
        <f>125.22*(1-Z1%)</f>
        <v>125.22</v>
      </c>
      <c r="F3781" s="2">
        <v>6</v>
      </c>
      <c r="G3781" s="2"/>
    </row>
    <row r="3782" spans="1:26" customHeight="1" ht="18" hidden="true" outlineLevel="3">
      <c r="A3782" s="2" t="s">
        <v>7085</v>
      </c>
      <c r="B3782" s="3" t="s">
        <v>7086</v>
      </c>
      <c r="C3782" s="2"/>
      <c r="D3782" s="2" t="s">
        <v>16</v>
      </c>
      <c r="E3782" s="4">
        <f>120.49*(1-Z1%)</f>
        <v>120.49</v>
      </c>
      <c r="F3782" s="2">
        <v>2</v>
      </c>
      <c r="G3782" s="2"/>
    </row>
    <row r="3783" spans="1:26" customHeight="1" ht="18" hidden="true" outlineLevel="3">
      <c r="A3783" s="2" t="s">
        <v>7087</v>
      </c>
      <c r="B3783" s="3" t="s">
        <v>7088</v>
      </c>
      <c r="C3783" s="2"/>
      <c r="D3783" s="2" t="s">
        <v>16</v>
      </c>
      <c r="E3783" s="4">
        <f>149.94*(1-Z1%)</f>
        <v>149.94</v>
      </c>
      <c r="F3783" s="2">
        <v>3</v>
      </c>
      <c r="G3783" s="2"/>
    </row>
    <row r="3784" spans="1:26" customHeight="1" ht="18" hidden="true" outlineLevel="3">
      <c r="A3784" s="2" t="s">
        <v>7089</v>
      </c>
      <c r="B3784" s="3" t="s">
        <v>7090</v>
      </c>
      <c r="C3784" s="2"/>
      <c r="D3784" s="2" t="s">
        <v>16</v>
      </c>
      <c r="E3784" s="4">
        <f>191.96*(1-Z1%)</f>
        <v>191.96</v>
      </c>
      <c r="F3784" s="2">
        <v>2</v>
      </c>
      <c r="G3784" s="2"/>
    </row>
    <row r="3785" spans="1:26" customHeight="1" ht="35" hidden="true" outlineLevel="3">
      <c r="A3785" s="5" t="s">
        <v>7091</v>
      </c>
      <c r="B3785" s="5"/>
      <c r="C3785" s="5"/>
      <c r="D3785" s="5"/>
      <c r="E3785" s="5"/>
      <c r="F3785" s="5"/>
      <c r="G3785" s="5"/>
    </row>
    <row r="3786" spans="1:26" customHeight="1" ht="18" hidden="true" outlineLevel="3">
      <c r="A3786" s="2" t="s">
        <v>7092</v>
      </c>
      <c r="B3786" s="3" t="s">
        <v>7093</v>
      </c>
      <c r="C3786" s="2"/>
      <c r="D3786" s="2" t="s">
        <v>16</v>
      </c>
      <c r="E3786" s="4">
        <f>123.75*(1-Z1%)</f>
        <v>123.75</v>
      </c>
      <c r="F3786" s="2">
        <v>2</v>
      </c>
      <c r="G3786" s="2"/>
    </row>
    <row r="3787" spans="1:26" customHeight="1" ht="36" hidden="true" outlineLevel="3">
      <c r="A3787" s="2" t="s">
        <v>7094</v>
      </c>
      <c r="B3787" s="3" t="s">
        <v>7095</v>
      </c>
      <c r="C3787" s="2"/>
      <c r="D3787" s="2" t="s">
        <v>16</v>
      </c>
      <c r="E3787" s="4">
        <f>142.32*(1-Z1%)</f>
        <v>142.32</v>
      </c>
      <c r="F3787" s="2">
        <v>1</v>
      </c>
      <c r="G3787" s="2"/>
    </row>
    <row r="3788" spans="1:26" customHeight="1" ht="35" hidden="true" outlineLevel="2">
      <c r="A3788" s="5" t="s">
        <v>7096</v>
      </c>
      <c r="B3788" s="5"/>
      <c r="C3788" s="5"/>
      <c r="D3788" s="5"/>
      <c r="E3788" s="5"/>
      <c r="F3788" s="5"/>
      <c r="G3788" s="5"/>
    </row>
    <row r="3789" spans="1:26" customHeight="1" ht="35" hidden="true" outlineLevel="3">
      <c r="A3789" s="5" t="s">
        <v>7097</v>
      </c>
      <c r="B3789" s="5"/>
      <c r="C3789" s="5"/>
      <c r="D3789" s="5"/>
      <c r="E3789" s="5"/>
      <c r="F3789" s="5"/>
      <c r="G3789" s="5"/>
    </row>
    <row r="3790" spans="1:26" customHeight="1" ht="18" hidden="true" outlineLevel="3">
      <c r="A3790" s="2" t="s">
        <v>7098</v>
      </c>
      <c r="B3790" s="3" t="s">
        <v>7099</v>
      </c>
      <c r="C3790" s="2"/>
      <c r="D3790" s="2" t="s">
        <v>16</v>
      </c>
      <c r="E3790" s="4">
        <f>77.21*(1-Z1%)</f>
        <v>77.21</v>
      </c>
      <c r="F3790" s="2">
        <v>113</v>
      </c>
      <c r="G3790" s="2"/>
    </row>
    <row r="3791" spans="1:26" customHeight="1" ht="18" hidden="true" outlineLevel="3">
      <c r="A3791" s="2" t="s">
        <v>7100</v>
      </c>
      <c r="B3791" s="3" t="s">
        <v>7101</v>
      </c>
      <c r="C3791" s="2"/>
      <c r="D3791" s="2" t="s">
        <v>16</v>
      </c>
      <c r="E3791" s="4">
        <f>129.38*(1-Z1%)</f>
        <v>129.38</v>
      </c>
      <c r="F3791" s="2">
        <v>50</v>
      </c>
      <c r="G3791" s="2"/>
    </row>
    <row r="3792" spans="1:26" customHeight="1" ht="35" hidden="true" outlineLevel="3">
      <c r="A3792" s="5" t="s">
        <v>7102</v>
      </c>
      <c r="B3792" s="5"/>
      <c r="C3792" s="5"/>
      <c r="D3792" s="5"/>
      <c r="E3792" s="5"/>
      <c r="F3792" s="5"/>
      <c r="G3792" s="5"/>
    </row>
    <row r="3793" spans="1:26" customHeight="1" ht="18" hidden="true" outlineLevel="3">
      <c r="A3793" s="2" t="s">
        <v>7103</v>
      </c>
      <c r="B3793" s="3" t="s">
        <v>7104</v>
      </c>
      <c r="C3793" s="2"/>
      <c r="D3793" s="2" t="s">
        <v>16</v>
      </c>
      <c r="E3793" s="4">
        <f>525.50*(1-Z1%)</f>
        <v>525.5</v>
      </c>
      <c r="F3793" s="2">
        <v>2</v>
      </c>
      <c r="G3793" s="2"/>
    </row>
    <row r="3794" spans="1:26" customHeight="1" ht="18" hidden="true" outlineLevel="3">
      <c r="A3794" s="2" t="s">
        <v>7105</v>
      </c>
      <c r="B3794" s="3" t="s">
        <v>7106</v>
      </c>
      <c r="C3794" s="2"/>
      <c r="D3794" s="2" t="s">
        <v>16</v>
      </c>
      <c r="E3794" s="4">
        <f>496.12*(1-Z1%)</f>
        <v>496.12</v>
      </c>
      <c r="F3794" s="2">
        <v>2</v>
      </c>
      <c r="G3794" s="2"/>
    </row>
    <row r="3795" spans="1:26" customHeight="1" ht="18" hidden="true" outlineLevel="3">
      <c r="A3795" s="2" t="s">
        <v>7107</v>
      </c>
      <c r="B3795" s="3" t="s">
        <v>7108</v>
      </c>
      <c r="C3795" s="2"/>
      <c r="D3795" s="2" t="s">
        <v>16</v>
      </c>
      <c r="E3795" s="4">
        <f>563.12*(1-Z1%)</f>
        <v>563.12</v>
      </c>
      <c r="F3795" s="2">
        <v>2</v>
      </c>
      <c r="G3795" s="2"/>
    </row>
    <row r="3796" spans="1:26" customHeight="1" ht="18" hidden="true" outlineLevel="3">
      <c r="A3796" s="2" t="s">
        <v>7109</v>
      </c>
      <c r="B3796" s="3" t="s">
        <v>7110</v>
      </c>
      <c r="C3796" s="2"/>
      <c r="D3796" s="2" t="s">
        <v>16</v>
      </c>
      <c r="E3796" s="4">
        <f>397.61*(1-Z1%)</f>
        <v>397.61</v>
      </c>
      <c r="F3796" s="2">
        <v>2</v>
      </c>
      <c r="G3796" s="2"/>
    </row>
    <row r="3797" spans="1:26" customHeight="1" ht="18" hidden="true" outlineLevel="3">
      <c r="A3797" s="2" t="s">
        <v>7111</v>
      </c>
      <c r="B3797" s="3" t="s">
        <v>7112</v>
      </c>
      <c r="C3797" s="2"/>
      <c r="D3797" s="2" t="s">
        <v>16</v>
      </c>
      <c r="E3797" s="4">
        <f>360.92*(1-Z1%)</f>
        <v>360.92</v>
      </c>
      <c r="F3797" s="2">
        <v>2</v>
      </c>
      <c r="G3797" s="2"/>
    </row>
    <row r="3798" spans="1:26" customHeight="1" ht="18" hidden="true" outlineLevel="3">
      <c r="A3798" s="2" t="s">
        <v>7113</v>
      </c>
      <c r="B3798" s="3" t="s">
        <v>7114</v>
      </c>
      <c r="C3798" s="2"/>
      <c r="D3798" s="2" t="s">
        <v>16</v>
      </c>
      <c r="E3798" s="4">
        <f>419.70*(1-Z1%)</f>
        <v>419.7</v>
      </c>
      <c r="F3798" s="2">
        <v>1</v>
      </c>
      <c r="G3798" s="2"/>
    </row>
    <row r="3799" spans="1:26" customHeight="1" ht="18" hidden="true" outlineLevel="3">
      <c r="A3799" s="2" t="s">
        <v>7115</v>
      </c>
      <c r="B3799" s="3" t="s">
        <v>7116</v>
      </c>
      <c r="C3799" s="2"/>
      <c r="D3799" s="2" t="s">
        <v>16</v>
      </c>
      <c r="E3799" s="4">
        <f>379.73*(1-Z1%)</f>
        <v>379.73</v>
      </c>
      <c r="F3799" s="2">
        <v>1</v>
      </c>
      <c r="G3799" s="2"/>
    </row>
    <row r="3800" spans="1:26" customHeight="1" ht="35" hidden="true" outlineLevel="3">
      <c r="A3800" s="5" t="s">
        <v>7117</v>
      </c>
      <c r="B3800" s="5"/>
      <c r="C3800" s="5"/>
      <c r="D3800" s="5"/>
      <c r="E3800" s="5"/>
      <c r="F3800" s="5"/>
      <c r="G3800" s="5"/>
    </row>
    <row r="3801" spans="1:26" customHeight="1" ht="36" hidden="true" outlineLevel="3">
      <c r="A3801" s="2" t="s">
        <v>7118</v>
      </c>
      <c r="B3801" s="3" t="s">
        <v>7119</v>
      </c>
      <c r="C3801" s="2"/>
      <c r="D3801" s="2" t="s">
        <v>16</v>
      </c>
      <c r="E3801" s="4">
        <f>952.70*(1-Z1%)</f>
        <v>952.7</v>
      </c>
      <c r="F3801" s="2">
        <v>1</v>
      </c>
      <c r="G3801" s="2"/>
    </row>
    <row r="3802" spans="1:26" customHeight="1" ht="36" hidden="true" outlineLevel="3">
      <c r="A3802" s="2" t="s">
        <v>7120</v>
      </c>
      <c r="B3802" s="3" t="s">
        <v>7121</v>
      </c>
      <c r="C3802" s="2"/>
      <c r="D3802" s="2" t="s">
        <v>16</v>
      </c>
      <c r="E3802" s="4">
        <f>1068.19*(1-Z1%)</f>
        <v>1068.19</v>
      </c>
      <c r="F3802" s="2">
        <v>1</v>
      </c>
      <c r="G3802" s="2"/>
    </row>
    <row r="3803" spans="1:26" customHeight="1" ht="36" hidden="true" outlineLevel="3">
      <c r="A3803" s="2" t="s">
        <v>7122</v>
      </c>
      <c r="B3803" s="3" t="s">
        <v>7123</v>
      </c>
      <c r="C3803" s="2"/>
      <c r="D3803" s="2" t="s">
        <v>16</v>
      </c>
      <c r="E3803" s="4">
        <f>323.56*(1-Z1%)</f>
        <v>323.56</v>
      </c>
      <c r="F3803" s="2">
        <v>5</v>
      </c>
      <c r="G3803" s="2"/>
    </row>
    <row r="3804" spans="1:26" customHeight="1" ht="36" hidden="true" outlineLevel="3">
      <c r="A3804" s="2" t="s">
        <v>7124</v>
      </c>
      <c r="B3804" s="3" t="s">
        <v>7125</v>
      </c>
      <c r="C3804" s="2"/>
      <c r="D3804" s="2" t="s">
        <v>16</v>
      </c>
      <c r="E3804" s="4">
        <f>622.67*(1-Z1%)</f>
        <v>622.67</v>
      </c>
      <c r="F3804" s="2">
        <v>3</v>
      </c>
      <c r="G3804" s="2"/>
    </row>
    <row r="3805" spans="1:26" customHeight="1" ht="36" hidden="true" outlineLevel="3">
      <c r="A3805" s="2" t="s">
        <v>7126</v>
      </c>
      <c r="B3805" s="3" t="s">
        <v>7127</v>
      </c>
      <c r="C3805" s="2"/>
      <c r="D3805" s="2" t="s">
        <v>16</v>
      </c>
      <c r="E3805" s="4">
        <f>773.23*(1-Z1%)</f>
        <v>773.23</v>
      </c>
      <c r="F3805" s="2">
        <v>3</v>
      </c>
      <c r="G3805" s="2"/>
    </row>
    <row r="3806" spans="1:26" customHeight="1" ht="36" hidden="true" outlineLevel="3">
      <c r="A3806" s="2" t="s">
        <v>7128</v>
      </c>
      <c r="B3806" s="3" t="s">
        <v>7129</v>
      </c>
      <c r="C3806" s="2"/>
      <c r="D3806" s="2" t="s">
        <v>16</v>
      </c>
      <c r="E3806" s="4">
        <f>1015.21*(1-Z1%)</f>
        <v>1015.21</v>
      </c>
      <c r="F3806" s="2">
        <v>3</v>
      </c>
      <c r="G3806" s="2"/>
    </row>
    <row r="3807" spans="1:26" customHeight="1" ht="35">
      <c r="A3807" s="1" t="s">
        <v>7130</v>
      </c>
      <c r="B3807" s="1"/>
      <c r="C3807" s="1"/>
      <c r="D3807" s="1"/>
      <c r="E3807" s="1"/>
      <c r="F3807" s="1"/>
      <c r="G3807" s="1"/>
    </row>
    <row r="3808" spans="1:26" customHeight="1" ht="35" hidden="true" outlineLevel="2">
      <c r="A3808" s="5" t="s">
        <v>7131</v>
      </c>
      <c r="B3808" s="5"/>
      <c r="C3808" s="5"/>
      <c r="D3808" s="5"/>
      <c r="E3808" s="5"/>
      <c r="F3808" s="5"/>
      <c r="G3808" s="5"/>
    </row>
    <row r="3809" spans="1:26" customHeight="1" ht="35" hidden="true" outlineLevel="3">
      <c r="A3809" s="5" t="s">
        <v>7132</v>
      </c>
      <c r="B3809" s="5"/>
      <c r="C3809" s="5"/>
      <c r="D3809" s="5"/>
      <c r="E3809" s="5"/>
      <c r="F3809" s="5"/>
      <c r="G3809" s="5"/>
    </row>
    <row r="3810" spans="1:26" customHeight="1" ht="18" hidden="true" outlineLevel="3">
      <c r="A3810" s="2" t="s">
        <v>7133</v>
      </c>
      <c r="B3810" s="3" t="s">
        <v>7134</v>
      </c>
      <c r="C3810" s="2"/>
      <c r="D3810" s="2" t="s">
        <v>16</v>
      </c>
      <c r="E3810" s="4">
        <f>66.29*(1-Z1%)</f>
        <v>66.29</v>
      </c>
      <c r="F3810" s="2">
        <v>36</v>
      </c>
      <c r="G3810" s="2"/>
    </row>
    <row r="3811" spans="1:26" customHeight="1" ht="18" hidden="true" outlineLevel="3">
      <c r="A3811" s="2" t="s">
        <v>7135</v>
      </c>
      <c r="B3811" s="3" t="s">
        <v>7136</v>
      </c>
      <c r="C3811" s="2"/>
      <c r="D3811" s="2" t="s">
        <v>16</v>
      </c>
      <c r="E3811" s="4">
        <f>77.57*(1-Z1%)</f>
        <v>77.57</v>
      </c>
      <c r="F3811" s="2">
        <v>24</v>
      </c>
      <c r="G3811" s="2"/>
    </row>
    <row r="3812" spans="1:26" customHeight="1" ht="18" hidden="true" outlineLevel="3">
      <c r="A3812" s="2" t="s">
        <v>7137</v>
      </c>
      <c r="B3812" s="3" t="s">
        <v>7138</v>
      </c>
      <c r="C3812" s="2"/>
      <c r="D3812" s="2" t="s">
        <v>16</v>
      </c>
      <c r="E3812" s="4">
        <f>94.55*(1-Z1%)</f>
        <v>94.55</v>
      </c>
      <c r="F3812" s="2">
        <v>22</v>
      </c>
      <c r="G3812" s="2"/>
    </row>
    <row r="3813" spans="1:26" customHeight="1" ht="18" hidden="true" outlineLevel="3">
      <c r="A3813" s="2" t="s">
        <v>7139</v>
      </c>
      <c r="B3813" s="3" t="s">
        <v>7140</v>
      </c>
      <c r="C3813" s="2"/>
      <c r="D3813" s="2" t="s">
        <v>16</v>
      </c>
      <c r="E3813" s="4">
        <f>102.02*(1-Z1%)</f>
        <v>102.02</v>
      </c>
      <c r="F3813" s="2">
        <v>20</v>
      </c>
      <c r="G3813" s="2"/>
    </row>
    <row r="3814" spans="1:26" customHeight="1" ht="18" hidden="true" outlineLevel="3">
      <c r="A3814" s="2" t="s">
        <v>7141</v>
      </c>
      <c r="B3814" s="3" t="s">
        <v>7142</v>
      </c>
      <c r="C3814" s="2"/>
      <c r="D3814" s="2" t="s">
        <v>16</v>
      </c>
      <c r="E3814" s="4">
        <f>105.19*(1-Z1%)</f>
        <v>105.19</v>
      </c>
      <c r="F3814" s="2">
        <v>26</v>
      </c>
      <c r="G3814" s="2"/>
    </row>
    <row r="3815" spans="1:26" customHeight="1" ht="18" hidden="true" outlineLevel="3">
      <c r="A3815" s="2" t="s">
        <v>7143</v>
      </c>
      <c r="B3815" s="3" t="s">
        <v>7144</v>
      </c>
      <c r="C3815" s="2"/>
      <c r="D3815" s="2" t="s">
        <v>16</v>
      </c>
      <c r="E3815" s="4">
        <f>78.35*(1-Z1%)</f>
        <v>78.35</v>
      </c>
      <c r="F3815" s="2">
        <v>4</v>
      </c>
      <c r="G3815" s="2"/>
    </row>
    <row r="3816" spans="1:26" customHeight="1" ht="36" hidden="true" outlineLevel="3">
      <c r="A3816" s="2" t="s">
        <v>7145</v>
      </c>
      <c r="B3816" s="3" t="s">
        <v>7146</v>
      </c>
      <c r="C3816" s="2"/>
      <c r="D3816" s="2" t="s">
        <v>16</v>
      </c>
      <c r="E3816" s="4">
        <f>128.69*(1-Z1%)</f>
        <v>128.69</v>
      </c>
      <c r="F3816" s="2">
        <v>20</v>
      </c>
      <c r="G3816" s="2"/>
    </row>
    <row r="3817" spans="1:26" customHeight="1" ht="18" hidden="true" outlineLevel="3">
      <c r="A3817" s="2" t="s">
        <v>7147</v>
      </c>
      <c r="B3817" s="3" t="s">
        <v>7148</v>
      </c>
      <c r="C3817" s="2"/>
      <c r="D3817" s="2" t="s">
        <v>16</v>
      </c>
      <c r="E3817" s="4">
        <f>138.31*(1-Z1%)</f>
        <v>138.31</v>
      </c>
      <c r="F3817" s="2">
        <v>12</v>
      </c>
      <c r="G3817" s="2"/>
    </row>
    <row r="3818" spans="1:26" customHeight="1" ht="18" hidden="true" outlineLevel="3">
      <c r="A3818" s="2" t="s">
        <v>7149</v>
      </c>
      <c r="B3818" s="3" t="s">
        <v>7150</v>
      </c>
      <c r="C3818" s="2"/>
      <c r="D3818" s="2" t="s">
        <v>16</v>
      </c>
      <c r="E3818" s="4">
        <f>154.26*(1-Z1%)</f>
        <v>154.26</v>
      </c>
      <c r="F3818" s="2">
        <v>28</v>
      </c>
      <c r="G3818" s="2"/>
    </row>
    <row r="3819" spans="1:26" customHeight="1" ht="18" hidden="true" outlineLevel="3">
      <c r="A3819" s="2" t="s">
        <v>7151</v>
      </c>
      <c r="B3819" s="3" t="s">
        <v>7152</v>
      </c>
      <c r="C3819" s="2"/>
      <c r="D3819" s="2" t="s">
        <v>16</v>
      </c>
      <c r="E3819" s="4">
        <f>87.24*(1-Z1%)</f>
        <v>87.24</v>
      </c>
      <c r="F3819" s="2">
        <v>40</v>
      </c>
      <c r="G3819" s="2"/>
    </row>
    <row r="3820" spans="1:26" customHeight="1" ht="36" hidden="true" outlineLevel="3">
      <c r="A3820" s="2" t="s">
        <v>7153</v>
      </c>
      <c r="B3820" s="3" t="s">
        <v>7154</v>
      </c>
      <c r="C3820" s="2"/>
      <c r="D3820" s="2" t="s">
        <v>16</v>
      </c>
      <c r="E3820" s="4">
        <f>54.00*(1-Z1%)</f>
        <v>54</v>
      </c>
      <c r="F3820" s="2">
        <v>12</v>
      </c>
      <c r="G3820" s="2"/>
    </row>
    <row r="3821" spans="1:26" customHeight="1" ht="18" hidden="true" outlineLevel="3">
      <c r="A3821" s="2" t="s">
        <v>7155</v>
      </c>
      <c r="B3821" s="3" t="s">
        <v>7156</v>
      </c>
      <c r="C3821" s="2"/>
      <c r="D3821" s="2" t="s">
        <v>16</v>
      </c>
      <c r="E3821" s="4">
        <f>52.78*(1-Z1%)</f>
        <v>52.78</v>
      </c>
      <c r="F3821" s="2">
        <v>64</v>
      </c>
      <c r="G3821" s="2"/>
    </row>
    <row r="3822" spans="1:26" customHeight="1" ht="18" hidden="true" outlineLevel="3">
      <c r="A3822" s="2" t="s">
        <v>7157</v>
      </c>
      <c r="B3822" s="3" t="s">
        <v>7158</v>
      </c>
      <c r="C3822" s="2"/>
      <c r="D3822" s="2" t="s">
        <v>16</v>
      </c>
      <c r="E3822" s="4">
        <f>72.41*(1-Z1%)</f>
        <v>72.41</v>
      </c>
      <c r="F3822" s="2">
        <v>38</v>
      </c>
      <c r="G3822" s="2"/>
    </row>
    <row r="3823" spans="1:26" customHeight="1" ht="36" hidden="true" outlineLevel="3">
      <c r="A3823" s="2" t="s">
        <v>7159</v>
      </c>
      <c r="B3823" s="3" t="s">
        <v>7160</v>
      </c>
      <c r="C3823" s="2"/>
      <c r="D3823" s="2" t="s">
        <v>16</v>
      </c>
      <c r="E3823" s="4">
        <f>87.15*(1-Z1%)</f>
        <v>87.15</v>
      </c>
      <c r="F3823" s="2">
        <v>24</v>
      </c>
      <c r="G3823" s="2"/>
    </row>
    <row r="3824" spans="1:26" customHeight="1" ht="18" hidden="true" outlineLevel="3">
      <c r="A3824" s="2" t="s">
        <v>7161</v>
      </c>
      <c r="B3824" s="3" t="s">
        <v>7162</v>
      </c>
      <c r="C3824" s="2"/>
      <c r="D3824" s="2" t="s">
        <v>16</v>
      </c>
      <c r="E3824" s="4">
        <f>49.73*(1-Z1%)</f>
        <v>49.73</v>
      </c>
      <c r="F3824" s="2">
        <v>26</v>
      </c>
      <c r="G3824" s="2"/>
    </row>
    <row r="3825" spans="1:26" customHeight="1" ht="18" hidden="true" outlineLevel="3">
      <c r="A3825" s="2" t="s">
        <v>7163</v>
      </c>
      <c r="B3825" s="3" t="s">
        <v>7164</v>
      </c>
      <c r="C3825" s="2"/>
      <c r="D3825" s="2" t="s">
        <v>16</v>
      </c>
      <c r="E3825" s="4">
        <f>56.84*(1-Z1%)</f>
        <v>56.84</v>
      </c>
      <c r="F3825" s="2">
        <v>24</v>
      </c>
      <c r="G3825" s="2"/>
    </row>
    <row r="3826" spans="1:26" customHeight="1" ht="18" hidden="true" outlineLevel="3">
      <c r="A3826" s="2" t="s">
        <v>7165</v>
      </c>
      <c r="B3826" s="3" t="s">
        <v>7166</v>
      </c>
      <c r="C3826" s="2"/>
      <c r="D3826" s="2" t="s">
        <v>16</v>
      </c>
      <c r="E3826" s="4">
        <f>65.12*(1-Z1%)</f>
        <v>65.12</v>
      </c>
      <c r="F3826" s="2">
        <v>22</v>
      </c>
      <c r="G3826" s="2"/>
    </row>
    <row r="3827" spans="1:26" customHeight="1" ht="18" hidden="true" outlineLevel="3">
      <c r="A3827" s="2" t="s">
        <v>7167</v>
      </c>
      <c r="B3827" s="3" t="s">
        <v>7168</v>
      </c>
      <c r="C3827" s="2"/>
      <c r="D3827" s="2" t="s">
        <v>16</v>
      </c>
      <c r="E3827" s="4">
        <f>88.82*(1-Z1%)</f>
        <v>88.82</v>
      </c>
      <c r="F3827" s="2">
        <v>42</v>
      </c>
      <c r="G3827" s="2"/>
    </row>
    <row r="3828" spans="1:26" customHeight="1" ht="35" hidden="true" outlineLevel="3">
      <c r="A3828" s="5" t="s">
        <v>7169</v>
      </c>
      <c r="B3828" s="5"/>
      <c r="C3828" s="5"/>
      <c r="D3828" s="5"/>
      <c r="E3828" s="5"/>
      <c r="F3828" s="5"/>
      <c r="G3828" s="5"/>
    </row>
    <row r="3829" spans="1:26" customHeight="1" ht="18" hidden="true" outlineLevel="3">
      <c r="A3829" s="2" t="s">
        <v>7170</v>
      </c>
      <c r="B3829" s="3" t="s">
        <v>7171</v>
      </c>
      <c r="C3829" s="2"/>
      <c r="D3829" s="2" t="s">
        <v>16</v>
      </c>
      <c r="E3829" s="4">
        <f>80.71*(1-Z1%)</f>
        <v>80.71</v>
      </c>
      <c r="F3829" s="2">
        <v>22</v>
      </c>
      <c r="G3829" s="2"/>
    </row>
    <row r="3830" spans="1:26" customHeight="1" ht="18" hidden="true" outlineLevel="3">
      <c r="A3830" s="2" t="s">
        <v>7172</v>
      </c>
      <c r="B3830" s="3" t="s">
        <v>7173</v>
      </c>
      <c r="C3830" s="2"/>
      <c r="D3830" s="2" t="s">
        <v>16</v>
      </c>
      <c r="E3830" s="4">
        <f>96.89*(1-Z1%)</f>
        <v>96.89</v>
      </c>
      <c r="F3830" s="2">
        <v>14</v>
      </c>
      <c r="G3830" s="2"/>
    </row>
    <row r="3831" spans="1:26" customHeight="1" ht="18" hidden="true" outlineLevel="3">
      <c r="A3831" s="2" t="s">
        <v>7174</v>
      </c>
      <c r="B3831" s="3" t="s">
        <v>7175</v>
      </c>
      <c r="C3831" s="2"/>
      <c r="D3831" s="2" t="s">
        <v>16</v>
      </c>
      <c r="E3831" s="4">
        <f>123.64*(1-Z1%)</f>
        <v>123.64</v>
      </c>
      <c r="F3831" s="2">
        <v>10</v>
      </c>
      <c r="G3831" s="2"/>
    </row>
    <row r="3832" spans="1:26" customHeight="1" ht="18" hidden="true" outlineLevel="3">
      <c r="A3832" s="2" t="s">
        <v>7176</v>
      </c>
      <c r="B3832" s="3" t="s">
        <v>7177</v>
      </c>
      <c r="C3832" s="2"/>
      <c r="D3832" s="2" t="s">
        <v>16</v>
      </c>
      <c r="E3832" s="4">
        <f>167.02*(1-Z1%)</f>
        <v>167.02</v>
      </c>
      <c r="F3832" s="2">
        <v>34</v>
      </c>
      <c r="G3832" s="2"/>
    </row>
    <row r="3833" spans="1:26" customHeight="1" ht="18" hidden="true" outlineLevel="3">
      <c r="A3833" s="2" t="s">
        <v>7178</v>
      </c>
      <c r="B3833" s="3" t="s">
        <v>7179</v>
      </c>
      <c r="C3833" s="2"/>
      <c r="D3833" s="2" t="s">
        <v>16</v>
      </c>
      <c r="E3833" s="4">
        <f>123.83*(1-Z1%)</f>
        <v>123.83</v>
      </c>
      <c r="F3833" s="2">
        <v>30</v>
      </c>
      <c r="G3833" s="2"/>
    </row>
    <row r="3834" spans="1:26" customHeight="1" ht="18" hidden="true" outlineLevel="3">
      <c r="A3834" s="2" t="s">
        <v>7180</v>
      </c>
      <c r="B3834" s="3" t="s">
        <v>7181</v>
      </c>
      <c r="C3834" s="2"/>
      <c r="D3834" s="2" t="s">
        <v>16</v>
      </c>
      <c r="E3834" s="4">
        <f>235.58*(1-Z1%)</f>
        <v>235.58</v>
      </c>
      <c r="F3834" s="2">
        <v>34</v>
      </c>
      <c r="G3834" s="2"/>
    </row>
    <row r="3835" spans="1:26" customHeight="1" ht="18" hidden="true" outlineLevel="3">
      <c r="A3835" s="2" t="s">
        <v>7182</v>
      </c>
      <c r="B3835" s="3" t="s">
        <v>7183</v>
      </c>
      <c r="C3835" s="2"/>
      <c r="D3835" s="2" t="s">
        <v>16</v>
      </c>
      <c r="E3835" s="4">
        <f>213.17*(1-Z1%)</f>
        <v>213.17</v>
      </c>
      <c r="F3835" s="2">
        <v>22</v>
      </c>
      <c r="G3835" s="2"/>
    </row>
    <row r="3836" spans="1:26" customHeight="1" ht="18" hidden="true" outlineLevel="3">
      <c r="A3836" s="2" t="s">
        <v>7184</v>
      </c>
      <c r="B3836" s="3" t="s">
        <v>7185</v>
      </c>
      <c r="C3836" s="2"/>
      <c r="D3836" s="2" t="s">
        <v>16</v>
      </c>
      <c r="E3836" s="4">
        <f>133.11*(1-Z1%)</f>
        <v>133.11</v>
      </c>
      <c r="F3836" s="2">
        <v>36</v>
      </c>
      <c r="G3836" s="2"/>
    </row>
    <row r="3837" spans="1:26" customHeight="1" ht="18" hidden="true" outlineLevel="3">
      <c r="A3837" s="2" t="s">
        <v>7186</v>
      </c>
      <c r="B3837" s="3" t="s">
        <v>7187</v>
      </c>
      <c r="C3837" s="2"/>
      <c r="D3837" s="2" t="s">
        <v>16</v>
      </c>
      <c r="E3837" s="4">
        <f>149.89*(1-Z1%)</f>
        <v>149.89</v>
      </c>
      <c r="F3837" s="2">
        <v>38</v>
      </c>
      <c r="G3837" s="2"/>
    </row>
    <row r="3838" spans="1:26" customHeight="1" ht="18" hidden="true" outlineLevel="3">
      <c r="A3838" s="2" t="s">
        <v>7188</v>
      </c>
      <c r="B3838" s="3" t="s">
        <v>7189</v>
      </c>
      <c r="C3838" s="2"/>
      <c r="D3838" s="2" t="s">
        <v>16</v>
      </c>
      <c r="E3838" s="4">
        <f>164.39*(1-Z1%)</f>
        <v>164.39</v>
      </c>
      <c r="F3838" s="2">
        <v>20</v>
      </c>
      <c r="G3838" s="2"/>
    </row>
    <row r="3839" spans="1:26" customHeight="1" ht="18" hidden="true" outlineLevel="3">
      <c r="A3839" s="2" t="s">
        <v>7190</v>
      </c>
      <c r="B3839" s="3" t="s">
        <v>7191</v>
      </c>
      <c r="C3839" s="2"/>
      <c r="D3839" s="2" t="s">
        <v>16</v>
      </c>
      <c r="E3839" s="4">
        <f>163.53*(1-Z1%)</f>
        <v>163.53</v>
      </c>
      <c r="F3839" s="2">
        <v>8</v>
      </c>
      <c r="G3839" s="2"/>
    </row>
    <row r="3840" spans="1:26" customHeight="1" ht="18" hidden="true" outlineLevel="3">
      <c r="A3840" s="2" t="s">
        <v>7192</v>
      </c>
      <c r="B3840" s="3" t="s">
        <v>7193</v>
      </c>
      <c r="C3840" s="2"/>
      <c r="D3840" s="2" t="s">
        <v>16</v>
      </c>
      <c r="E3840" s="4">
        <f>256.17*(1-Z1%)</f>
        <v>256.17</v>
      </c>
      <c r="F3840" s="2">
        <v>20</v>
      </c>
      <c r="G3840" s="2"/>
    </row>
    <row r="3841" spans="1:26" customHeight="1" ht="18" hidden="true" outlineLevel="3">
      <c r="A3841" s="2" t="s">
        <v>7194</v>
      </c>
      <c r="B3841" s="3" t="s">
        <v>7195</v>
      </c>
      <c r="C3841" s="2"/>
      <c r="D3841" s="2" t="s">
        <v>16</v>
      </c>
      <c r="E3841" s="4">
        <f>252.72*(1-Z1%)</f>
        <v>252.72</v>
      </c>
      <c r="F3841" s="2">
        <v>34</v>
      </c>
      <c r="G3841" s="2"/>
    </row>
    <row r="3842" spans="1:26" customHeight="1" ht="18" hidden="true" outlineLevel="3">
      <c r="A3842" s="2" t="s">
        <v>7196</v>
      </c>
      <c r="B3842" s="3" t="s">
        <v>7197</v>
      </c>
      <c r="C3842" s="2"/>
      <c r="D3842" s="2" t="s">
        <v>16</v>
      </c>
      <c r="E3842" s="4">
        <f>268.47*(1-Z1%)</f>
        <v>268.47</v>
      </c>
      <c r="F3842" s="2">
        <v>26</v>
      </c>
      <c r="G3842" s="2"/>
    </row>
    <row r="3843" spans="1:26" customHeight="1" ht="18" hidden="true" outlineLevel="3">
      <c r="A3843" s="2" t="s">
        <v>7198</v>
      </c>
      <c r="B3843" s="3" t="s">
        <v>7199</v>
      </c>
      <c r="C3843" s="2"/>
      <c r="D3843" s="2" t="s">
        <v>16</v>
      </c>
      <c r="E3843" s="4">
        <f>281.39*(1-Z1%)</f>
        <v>281.39</v>
      </c>
      <c r="F3843" s="2">
        <v>10</v>
      </c>
      <c r="G3843" s="2"/>
    </row>
    <row r="3844" spans="1:26" customHeight="1" ht="36" hidden="true" outlineLevel="3">
      <c r="A3844" s="2" t="s">
        <v>7200</v>
      </c>
      <c r="B3844" s="3" t="s">
        <v>7201</v>
      </c>
      <c r="C3844" s="2"/>
      <c r="D3844" s="2" t="s">
        <v>16</v>
      </c>
      <c r="E3844" s="4">
        <f>93.28*(1-Z1%)</f>
        <v>93.28</v>
      </c>
      <c r="F3844" s="2">
        <v>20</v>
      </c>
      <c r="G3844" s="2"/>
    </row>
    <row r="3845" spans="1:26" customHeight="1" ht="18" hidden="true" outlineLevel="3">
      <c r="A3845" s="2" t="s">
        <v>7202</v>
      </c>
      <c r="B3845" s="3" t="s">
        <v>7203</v>
      </c>
      <c r="C3845" s="2"/>
      <c r="D3845" s="2" t="s">
        <v>16</v>
      </c>
      <c r="E3845" s="4">
        <f>116.60*(1-Z1%)</f>
        <v>116.6</v>
      </c>
      <c r="F3845" s="2">
        <v>8</v>
      </c>
      <c r="G3845" s="2"/>
    </row>
    <row r="3846" spans="1:26" customHeight="1" ht="18" hidden="true" outlineLevel="3">
      <c r="A3846" s="2" t="s">
        <v>7204</v>
      </c>
      <c r="B3846" s="3" t="s">
        <v>7205</v>
      </c>
      <c r="C3846" s="2"/>
      <c r="D3846" s="2" t="s">
        <v>16</v>
      </c>
      <c r="E3846" s="4">
        <f>162.00*(1-Z1%)</f>
        <v>162</v>
      </c>
      <c r="F3846" s="2">
        <v>20</v>
      </c>
      <c r="G3846" s="2"/>
    </row>
    <row r="3847" spans="1:26" customHeight="1" ht="36" hidden="true" outlineLevel="3">
      <c r="A3847" s="2" t="s">
        <v>7206</v>
      </c>
      <c r="B3847" s="3" t="s">
        <v>7207</v>
      </c>
      <c r="C3847" s="2"/>
      <c r="D3847" s="2" t="s">
        <v>16</v>
      </c>
      <c r="E3847" s="4">
        <f>147.28*(1-Z1%)</f>
        <v>147.28</v>
      </c>
      <c r="F3847" s="2">
        <v>8</v>
      </c>
      <c r="G3847" s="2"/>
    </row>
    <row r="3848" spans="1:26" customHeight="1" ht="18" hidden="true" outlineLevel="3">
      <c r="A3848" s="2" t="s">
        <v>7208</v>
      </c>
      <c r="B3848" s="3" t="s">
        <v>7209</v>
      </c>
      <c r="C3848" s="2"/>
      <c r="D3848" s="2" t="s">
        <v>16</v>
      </c>
      <c r="E3848" s="4">
        <f>58.91*(1-Z1%)</f>
        <v>58.91</v>
      </c>
      <c r="F3848" s="2">
        <v>6</v>
      </c>
      <c r="G3848" s="2"/>
    </row>
    <row r="3849" spans="1:26" customHeight="1" ht="18" hidden="true" outlineLevel="3">
      <c r="A3849" s="2" t="s">
        <v>7210</v>
      </c>
      <c r="B3849" s="3" t="s">
        <v>7211</v>
      </c>
      <c r="C3849" s="2"/>
      <c r="D3849" s="2" t="s">
        <v>16</v>
      </c>
      <c r="E3849" s="4">
        <f>75.79*(1-Z1%)</f>
        <v>75.79</v>
      </c>
      <c r="F3849" s="2">
        <v>34</v>
      </c>
      <c r="G3849" s="2"/>
    </row>
    <row r="3850" spans="1:26" customHeight="1" ht="18" hidden="true" outlineLevel="3">
      <c r="A3850" s="2" t="s">
        <v>7212</v>
      </c>
      <c r="B3850" s="3" t="s">
        <v>7213</v>
      </c>
      <c r="C3850" s="2"/>
      <c r="D3850" s="2" t="s">
        <v>16</v>
      </c>
      <c r="E3850" s="4">
        <f>124.34*(1-Z1%)</f>
        <v>124.34</v>
      </c>
      <c r="F3850" s="2">
        <v>50</v>
      </c>
      <c r="G3850" s="2"/>
    </row>
    <row r="3851" spans="1:26" customHeight="1" ht="18" hidden="true" outlineLevel="3">
      <c r="A3851" s="2" t="s">
        <v>7214</v>
      </c>
      <c r="B3851" s="3" t="s">
        <v>7215</v>
      </c>
      <c r="C3851" s="2"/>
      <c r="D3851" s="2" t="s">
        <v>16</v>
      </c>
      <c r="E3851" s="4">
        <f>118.42*(1-Z1%)</f>
        <v>118.42</v>
      </c>
      <c r="F3851" s="2">
        <v>44</v>
      </c>
      <c r="G3851" s="2"/>
    </row>
    <row r="3852" spans="1:26" customHeight="1" ht="18" hidden="true" outlineLevel="3">
      <c r="A3852" s="2" t="s">
        <v>7216</v>
      </c>
      <c r="B3852" s="3" t="s">
        <v>7217</v>
      </c>
      <c r="C3852" s="2"/>
      <c r="D3852" s="2" t="s">
        <v>16</v>
      </c>
      <c r="E3852" s="4">
        <f>127.89*(1-Z1%)</f>
        <v>127.89</v>
      </c>
      <c r="F3852" s="2">
        <v>38</v>
      </c>
      <c r="G3852" s="2"/>
    </row>
    <row r="3853" spans="1:26" customHeight="1" ht="18" hidden="true" outlineLevel="3">
      <c r="A3853" s="2" t="s">
        <v>7218</v>
      </c>
      <c r="B3853" s="3" t="s">
        <v>7219</v>
      </c>
      <c r="C3853" s="2"/>
      <c r="D3853" s="2" t="s">
        <v>16</v>
      </c>
      <c r="E3853" s="4">
        <f>148.03*(1-Z1%)</f>
        <v>148.03</v>
      </c>
      <c r="F3853" s="2">
        <v>48</v>
      </c>
      <c r="G3853" s="2"/>
    </row>
    <row r="3854" spans="1:26" customHeight="1" ht="18" hidden="true" outlineLevel="3">
      <c r="A3854" s="2" t="s">
        <v>7220</v>
      </c>
      <c r="B3854" s="3" t="s">
        <v>7221</v>
      </c>
      <c r="C3854" s="2"/>
      <c r="D3854" s="2" t="s">
        <v>16</v>
      </c>
      <c r="E3854" s="4">
        <f>159.88*(1-Z1%)</f>
        <v>159.88</v>
      </c>
      <c r="F3854" s="2">
        <v>36</v>
      </c>
      <c r="G3854" s="2"/>
    </row>
    <row r="3855" spans="1:26" customHeight="1" ht="18" hidden="true" outlineLevel="3">
      <c r="A3855" s="2" t="s">
        <v>7222</v>
      </c>
      <c r="B3855" s="3" t="s">
        <v>7223</v>
      </c>
      <c r="C3855" s="2"/>
      <c r="D3855" s="2" t="s">
        <v>16</v>
      </c>
      <c r="E3855" s="4">
        <f>171.71*(1-Z1%)</f>
        <v>171.71</v>
      </c>
      <c r="F3855" s="2">
        <v>46</v>
      </c>
      <c r="G3855" s="2"/>
    </row>
    <row r="3856" spans="1:26" customHeight="1" ht="35" hidden="true" outlineLevel="3">
      <c r="A3856" s="5" t="s">
        <v>7224</v>
      </c>
      <c r="B3856" s="5"/>
      <c r="C3856" s="5"/>
      <c r="D3856" s="5"/>
      <c r="E3856" s="5"/>
      <c r="F3856" s="5"/>
      <c r="G3856" s="5"/>
    </row>
    <row r="3857" spans="1:26" customHeight="1" ht="18" hidden="true" outlineLevel="3">
      <c r="A3857" s="2" t="s">
        <v>7225</v>
      </c>
      <c r="B3857" s="3" t="s">
        <v>7226</v>
      </c>
      <c r="C3857" s="2"/>
      <c r="D3857" s="2" t="s">
        <v>16</v>
      </c>
      <c r="E3857" s="4">
        <f>566.60*(1-Z1%)</f>
        <v>566.6</v>
      </c>
      <c r="F3857" s="2">
        <v>14</v>
      </c>
      <c r="G3857" s="2"/>
    </row>
    <row r="3858" spans="1:26" customHeight="1" ht="18" hidden="true" outlineLevel="3">
      <c r="A3858" s="2" t="s">
        <v>7227</v>
      </c>
      <c r="B3858" s="3" t="s">
        <v>7228</v>
      </c>
      <c r="C3858" s="2"/>
      <c r="D3858" s="2" t="s">
        <v>16</v>
      </c>
      <c r="E3858" s="4">
        <f>407.46*(1-Z1%)</f>
        <v>407.46</v>
      </c>
      <c r="F3858" s="2">
        <v>10</v>
      </c>
      <c r="G3858" s="2"/>
    </row>
    <row r="3859" spans="1:26" customHeight="1" ht="18" hidden="true" outlineLevel="3">
      <c r="A3859" s="2" t="s">
        <v>7229</v>
      </c>
      <c r="B3859" s="3" t="s">
        <v>7230</v>
      </c>
      <c r="C3859" s="2"/>
      <c r="D3859" s="2" t="s">
        <v>16</v>
      </c>
      <c r="E3859" s="4">
        <f>688.61*(1-Z1%)</f>
        <v>688.61</v>
      </c>
      <c r="F3859" s="2">
        <v>1</v>
      </c>
      <c r="G3859" s="2"/>
    </row>
    <row r="3860" spans="1:26" customHeight="1" ht="35" hidden="true" outlineLevel="3">
      <c r="A3860" s="5" t="s">
        <v>7231</v>
      </c>
      <c r="B3860" s="5"/>
      <c r="C3860" s="5"/>
      <c r="D3860" s="5"/>
      <c r="E3860" s="5"/>
      <c r="F3860" s="5"/>
      <c r="G3860" s="5"/>
    </row>
    <row r="3861" spans="1:26" customHeight="1" ht="36" hidden="true" outlineLevel="3">
      <c r="A3861" s="2" t="s">
        <v>7232</v>
      </c>
      <c r="B3861" s="3" t="s">
        <v>7233</v>
      </c>
      <c r="C3861" s="2"/>
      <c r="D3861" s="2" t="s">
        <v>16</v>
      </c>
      <c r="E3861" s="4">
        <f>103.53*(1-Z1%)</f>
        <v>103.53</v>
      </c>
      <c r="F3861" s="2">
        <v>2</v>
      </c>
      <c r="G3861" s="2"/>
    </row>
    <row r="3862" spans="1:26" customHeight="1" ht="18" hidden="true" outlineLevel="3">
      <c r="A3862" s="2" t="s">
        <v>7234</v>
      </c>
      <c r="B3862" s="3" t="s">
        <v>7235</v>
      </c>
      <c r="C3862" s="2"/>
      <c r="D3862" s="2" t="s">
        <v>16</v>
      </c>
      <c r="E3862" s="4">
        <f>165.64*(1-Z1%)</f>
        <v>165.64</v>
      </c>
      <c r="F3862" s="2">
        <v>4</v>
      </c>
      <c r="G3862" s="2"/>
    </row>
    <row r="3863" spans="1:26" customHeight="1" ht="18" hidden="true" outlineLevel="3">
      <c r="A3863" s="2" t="s">
        <v>7236</v>
      </c>
      <c r="B3863" s="3" t="s">
        <v>7237</v>
      </c>
      <c r="C3863" s="2"/>
      <c r="D3863" s="2" t="s">
        <v>16</v>
      </c>
      <c r="E3863" s="4">
        <f>144.93*(1-Z1%)</f>
        <v>144.93</v>
      </c>
      <c r="F3863" s="2">
        <v>5</v>
      </c>
      <c r="G3863" s="2"/>
    </row>
    <row r="3864" spans="1:26" customHeight="1" ht="36" hidden="true" outlineLevel="3">
      <c r="A3864" s="2" t="s">
        <v>7238</v>
      </c>
      <c r="B3864" s="3" t="s">
        <v>7239</v>
      </c>
      <c r="C3864" s="2"/>
      <c r="D3864" s="2" t="s">
        <v>16</v>
      </c>
      <c r="E3864" s="4">
        <f>119.05*(1-Z1%)</f>
        <v>119.05</v>
      </c>
      <c r="F3864" s="2">
        <v>2</v>
      </c>
      <c r="G3864" s="2"/>
    </row>
    <row r="3865" spans="1:26" customHeight="1" ht="18" hidden="true" outlineLevel="3">
      <c r="A3865" s="2" t="s">
        <v>7240</v>
      </c>
      <c r="B3865" s="3" t="s">
        <v>7241</v>
      </c>
      <c r="C3865" s="2"/>
      <c r="D3865" s="2" t="s">
        <v>16</v>
      </c>
      <c r="E3865" s="4">
        <f>160.46*(1-Z1%)</f>
        <v>160.46</v>
      </c>
      <c r="F3865" s="2">
        <v>4</v>
      </c>
      <c r="G3865" s="2"/>
    </row>
    <row r="3866" spans="1:26" customHeight="1" ht="18" hidden="true" outlineLevel="3">
      <c r="A3866" s="2" t="s">
        <v>7242</v>
      </c>
      <c r="B3866" s="3" t="s">
        <v>7243</v>
      </c>
      <c r="C3866" s="2"/>
      <c r="D3866" s="2" t="s">
        <v>16</v>
      </c>
      <c r="E3866" s="4">
        <f>145.58*(1-Z1%)</f>
        <v>145.58</v>
      </c>
      <c r="F3866" s="2">
        <v>4</v>
      </c>
      <c r="G3866" s="2"/>
    </row>
    <row r="3867" spans="1:26" customHeight="1" ht="18" hidden="true" outlineLevel="3">
      <c r="A3867" s="2" t="s">
        <v>7244</v>
      </c>
      <c r="B3867" s="3" t="s">
        <v>7245</v>
      </c>
      <c r="C3867" s="2"/>
      <c r="D3867" s="2" t="s">
        <v>16</v>
      </c>
      <c r="E3867" s="4">
        <f>135.86*(1-Z1%)</f>
        <v>135.86</v>
      </c>
      <c r="F3867" s="2">
        <v>5</v>
      </c>
      <c r="G3867" s="2"/>
    </row>
    <row r="3868" spans="1:26" customHeight="1" ht="18" hidden="true" outlineLevel="3">
      <c r="A3868" s="2" t="s">
        <v>7246</v>
      </c>
      <c r="B3868" s="3" t="s">
        <v>7247</v>
      </c>
      <c r="C3868" s="2"/>
      <c r="D3868" s="2" t="s">
        <v>16</v>
      </c>
      <c r="E3868" s="4">
        <f>135.86*(1-Z1%)</f>
        <v>135.86</v>
      </c>
      <c r="F3868" s="2">
        <v>5</v>
      </c>
      <c r="G3868" s="2"/>
    </row>
    <row r="3869" spans="1:26" customHeight="1" ht="18" hidden="true" outlineLevel="3">
      <c r="A3869" s="2" t="s">
        <v>7248</v>
      </c>
      <c r="B3869" s="3" t="s">
        <v>7249</v>
      </c>
      <c r="C3869" s="2"/>
      <c r="D3869" s="2" t="s">
        <v>16</v>
      </c>
      <c r="E3869" s="4">
        <f>75.70*(1-Z1%)</f>
        <v>75.7</v>
      </c>
      <c r="F3869" s="2">
        <v>1</v>
      </c>
      <c r="G3869" s="2"/>
    </row>
    <row r="3870" spans="1:26" customHeight="1" ht="35" hidden="true" outlineLevel="3">
      <c r="A3870" s="5" t="s">
        <v>7250</v>
      </c>
      <c r="B3870" s="5"/>
      <c r="C3870" s="5"/>
      <c r="D3870" s="5"/>
      <c r="E3870" s="5"/>
      <c r="F3870" s="5"/>
      <c r="G3870" s="5"/>
    </row>
    <row r="3871" spans="1:26" customHeight="1" ht="18" hidden="true" outlineLevel="3">
      <c r="A3871" s="2" t="s">
        <v>7251</v>
      </c>
      <c r="B3871" s="3" t="s">
        <v>7252</v>
      </c>
      <c r="C3871" s="2"/>
      <c r="D3871" s="2" t="s">
        <v>16</v>
      </c>
      <c r="E3871" s="4">
        <f>179.89*(1-Z1%)</f>
        <v>179.89</v>
      </c>
      <c r="F3871" s="2">
        <v>8</v>
      </c>
      <c r="G3871" s="2"/>
    </row>
    <row r="3872" spans="1:26" customHeight="1" ht="18" hidden="true" outlineLevel="3">
      <c r="A3872" s="2" t="s">
        <v>7253</v>
      </c>
      <c r="B3872" s="3" t="s">
        <v>7254</v>
      </c>
      <c r="C3872" s="2"/>
      <c r="D3872" s="2" t="s">
        <v>16</v>
      </c>
      <c r="E3872" s="4">
        <f>218.30*(1-Z1%)</f>
        <v>218.3</v>
      </c>
      <c r="F3872" s="2">
        <v>7</v>
      </c>
      <c r="G3872" s="2"/>
    </row>
    <row r="3873" spans="1:26" customHeight="1" ht="18" hidden="true" outlineLevel="3">
      <c r="A3873" s="2" t="s">
        <v>7255</v>
      </c>
      <c r="B3873" s="3" t="s">
        <v>7256</v>
      </c>
      <c r="C3873" s="2"/>
      <c r="D3873" s="2" t="s">
        <v>16</v>
      </c>
      <c r="E3873" s="4">
        <f>207.18*(1-Z1%)</f>
        <v>207.18</v>
      </c>
      <c r="F3873" s="2">
        <v>3</v>
      </c>
      <c r="G3873" s="2"/>
    </row>
    <row r="3874" spans="1:26" customHeight="1" ht="18" hidden="true" outlineLevel="3">
      <c r="A3874" s="2" t="s">
        <v>7257</v>
      </c>
      <c r="B3874" s="3" t="s">
        <v>7258</v>
      </c>
      <c r="C3874" s="2"/>
      <c r="D3874" s="2" t="s">
        <v>16</v>
      </c>
      <c r="E3874" s="4">
        <f>323.77*(1-Z1%)</f>
        <v>323.77</v>
      </c>
      <c r="F3874" s="2">
        <v>5</v>
      </c>
      <c r="G3874" s="2"/>
    </row>
    <row r="3875" spans="1:26" customHeight="1" ht="36" hidden="true" outlineLevel="3">
      <c r="A3875" s="2" t="s">
        <v>7259</v>
      </c>
      <c r="B3875" s="3" t="s">
        <v>7260</v>
      </c>
      <c r="C3875" s="2"/>
      <c r="D3875" s="2" t="s">
        <v>16</v>
      </c>
      <c r="E3875" s="4">
        <f>168.69*(1-Z1%)</f>
        <v>168.69</v>
      </c>
      <c r="F3875" s="2">
        <v>10</v>
      </c>
      <c r="G3875" s="2"/>
    </row>
    <row r="3876" spans="1:26" customHeight="1" ht="18" hidden="true" outlineLevel="3">
      <c r="A3876" s="2" t="s">
        <v>7261</v>
      </c>
      <c r="B3876" s="3" t="s">
        <v>7262</v>
      </c>
      <c r="C3876" s="2"/>
      <c r="D3876" s="2" t="s">
        <v>16</v>
      </c>
      <c r="E3876" s="4">
        <f>141.75*(1-Z1%)</f>
        <v>141.75</v>
      </c>
      <c r="F3876" s="2">
        <v>8</v>
      </c>
      <c r="G3876" s="2"/>
    </row>
    <row r="3877" spans="1:26" customHeight="1" ht="18" hidden="true" outlineLevel="3">
      <c r="A3877" s="2" t="s">
        <v>7263</v>
      </c>
      <c r="B3877" s="3" t="s">
        <v>7264</v>
      </c>
      <c r="C3877" s="2"/>
      <c r="D3877" s="2" t="s">
        <v>16</v>
      </c>
      <c r="E3877" s="4">
        <f>461.39*(1-Z1%)</f>
        <v>461.39</v>
      </c>
      <c r="F3877" s="2">
        <v>1</v>
      </c>
      <c r="G3877" s="2"/>
    </row>
    <row r="3878" spans="1:26" customHeight="1" ht="35" hidden="true" outlineLevel="3">
      <c r="A3878" s="5" t="s">
        <v>7265</v>
      </c>
      <c r="B3878" s="5"/>
      <c r="C3878" s="5"/>
      <c r="D3878" s="5"/>
      <c r="E3878" s="5"/>
      <c r="F3878" s="5"/>
      <c r="G3878" s="5"/>
    </row>
    <row r="3879" spans="1:26" customHeight="1" ht="18" hidden="true" outlineLevel="3">
      <c r="A3879" s="2" t="s">
        <v>7266</v>
      </c>
      <c r="B3879" s="3" t="s">
        <v>7267</v>
      </c>
      <c r="C3879" s="2"/>
      <c r="D3879" s="2" t="s">
        <v>16</v>
      </c>
      <c r="E3879" s="4">
        <f>61.41*(1-Z1%)</f>
        <v>61.41</v>
      </c>
      <c r="F3879" s="2">
        <v>1</v>
      </c>
      <c r="G3879" s="2"/>
    </row>
    <row r="3880" spans="1:26" customHeight="1" ht="36" hidden="true" outlineLevel="3">
      <c r="A3880" s="2" t="s">
        <v>7268</v>
      </c>
      <c r="B3880" s="3" t="s">
        <v>7269</v>
      </c>
      <c r="C3880" s="2"/>
      <c r="D3880" s="2" t="s">
        <v>16</v>
      </c>
      <c r="E3880" s="4">
        <f>313.43*(1-Z1%)</f>
        <v>313.43</v>
      </c>
      <c r="F3880" s="2">
        <v>2</v>
      </c>
      <c r="G3880" s="2"/>
    </row>
    <row r="3881" spans="1:26" customHeight="1" ht="36" hidden="true" outlineLevel="3">
      <c r="A3881" s="2" t="s">
        <v>7270</v>
      </c>
      <c r="B3881" s="3" t="s">
        <v>7271</v>
      </c>
      <c r="C3881" s="2"/>
      <c r="D3881" s="2" t="s">
        <v>16</v>
      </c>
      <c r="E3881" s="4">
        <f>339.55*(1-Z1%)</f>
        <v>339.55</v>
      </c>
      <c r="F3881" s="2">
        <v>2</v>
      </c>
      <c r="G3881" s="2"/>
    </row>
    <row r="3882" spans="1:26" customHeight="1" ht="18" hidden="true" outlineLevel="3">
      <c r="A3882" s="2" t="s">
        <v>7272</v>
      </c>
      <c r="B3882" s="3" t="s">
        <v>7273</v>
      </c>
      <c r="C3882" s="2"/>
      <c r="D3882" s="2" t="s">
        <v>16</v>
      </c>
      <c r="E3882" s="4">
        <f>126.71*(1-Z1%)</f>
        <v>126.71</v>
      </c>
      <c r="F3882" s="2">
        <v>10</v>
      </c>
      <c r="G3882" s="2"/>
    </row>
    <row r="3883" spans="1:26" customHeight="1" ht="18" hidden="true" outlineLevel="3">
      <c r="A3883" s="2" t="s">
        <v>7274</v>
      </c>
      <c r="B3883" s="3" t="s">
        <v>7275</v>
      </c>
      <c r="C3883" s="2"/>
      <c r="D3883" s="2" t="s">
        <v>16</v>
      </c>
      <c r="E3883" s="4">
        <f>259.88*(1-Z1%)</f>
        <v>259.88</v>
      </c>
      <c r="F3883" s="2">
        <v>4</v>
      </c>
      <c r="G3883" s="2"/>
    </row>
    <row r="3884" spans="1:26" customHeight="1" ht="36" hidden="true" outlineLevel="3">
      <c r="A3884" s="2" t="s">
        <v>7276</v>
      </c>
      <c r="B3884" s="3" t="s">
        <v>7277</v>
      </c>
      <c r="C3884" s="2"/>
      <c r="D3884" s="2" t="s">
        <v>16</v>
      </c>
      <c r="E3884" s="4">
        <f>111.15*(1-Z1%)</f>
        <v>111.15</v>
      </c>
      <c r="F3884" s="2">
        <v>77</v>
      </c>
      <c r="G3884" s="2"/>
    </row>
    <row r="3885" spans="1:26" customHeight="1" ht="36" hidden="true" outlineLevel="3">
      <c r="A3885" s="2" t="s">
        <v>7278</v>
      </c>
      <c r="B3885" s="3" t="s">
        <v>7279</v>
      </c>
      <c r="C3885" s="2"/>
      <c r="D3885" s="2" t="s">
        <v>16</v>
      </c>
      <c r="E3885" s="4">
        <f>129.11*(1-Z1%)</f>
        <v>129.11</v>
      </c>
      <c r="F3885" s="2">
        <v>276</v>
      </c>
      <c r="G3885" s="2"/>
    </row>
    <row r="3886" spans="1:26" customHeight="1" ht="18" hidden="true" outlineLevel="3">
      <c r="A3886" s="2" t="s">
        <v>7280</v>
      </c>
      <c r="B3886" s="3" t="s">
        <v>7281</v>
      </c>
      <c r="C3886" s="2"/>
      <c r="D3886" s="2" t="s">
        <v>16</v>
      </c>
      <c r="E3886" s="4">
        <f>129.11*(1-Z1%)</f>
        <v>129.11</v>
      </c>
      <c r="F3886" s="2">
        <v>412</v>
      </c>
      <c r="G3886" s="2"/>
    </row>
    <row r="3887" spans="1:26" customHeight="1" ht="18" hidden="true" outlineLevel="3">
      <c r="A3887" s="2" t="s">
        <v>7282</v>
      </c>
      <c r="B3887" s="3" t="s">
        <v>7283</v>
      </c>
      <c r="C3887" s="2"/>
      <c r="D3887" s="2" t="s">
        <v>16</v>
      </c>
      <c r="E3887" s="4">
        <f>155.61*(1-Z1%)</f>
        <v>155.61</v>
      </c>
      <c r="F3887" s="2">
        <v>7</v>
      </c>
      <c r="G3887" s="2"/>
    </row>
    <row r="3888" spans="1:26" customHeight="1" ht="18" hidden="true" outlineLevel="3">
      <c r="A3888" s="2" t="s">
        <v>7284</v>
      </c>
      <c r="B3888" s="3" t="s">
        <v>7285</v>
      </c>
      <c r="C3888" s="2"/>
      <c r="D3888" s="2" t="s">
        <v>16</v>
      </c>
      <c r="E3888" s="4">
        <f>123.98*(1-Z1%)</f>
        <v>123.98</v>
      </c>
      <c r="F3888" s="2">
        <v>112</v>
      </c>
      <c r="G3888" s="2"/>
    </row>
    <row r="3889" spans="1:26" customHeight="1" ht="18" hidden="true" outlineLevel="3">
      <c r="A3889" s="2" t="s">
        <v>7286</v>
      </c>
      <c r="B3889" s="3" t="s">
        <v>7287</v>
      </c>
      <c r="C3889" s="2"/>
      <c r="D3889" s="2" t="s">
        <v>16</v>
      </c>
      <c r="E3889" s="4">
        <f>156.47*(1-Z1%)</f>
        <v>156.47</v>
      </c>
      <c r="F3889" s="2">
        <v>1</v>
      </c>
      <c r="G3889" s="2"/>
    </row>
    <row r="3890" spans="1:26" customHeight="1" ht="18" hidden="true" outlineLevel="3">
      <c r="A3890" s="2" t="s">
        <v>7288</v>
      </c>
      <c r="B3890" s="3" t="s">
        <v>7289</v>
      </c>
      <c r="C3890" s="2"/>
      <c r="D3890" s="2" t="s">
        <v>16</v>
      </c>
      <c r="E3890" s="4">
        <f>214.61*(1-Z1%)</f>
        <v>214.61</v>
      </c>
      <c r="F3890" s="2">
        <v>101</v>
      </c>
      <c r="G3890" s="2"/>
    </row>
    <row r="3891" spans="1:26" customHeight="1" ht="18" hidden="true" outlineLevel="3">
      <c r="A3891" s="2" t="s">
        <v>7290</v>
      </c>
      <c r="B3891" s="3" t="s">
        <v>7291</v>
      </c>
      <c r="C3891" s="2"/>
      <c r="D3891" s="2" t="s">
        <v>16</v>
      </c>
      <c r="E3891" s="4">
        <f>601.70*(1-Z1%)</f>
        <v>601.7</v>
      </c>
      <c r="F3891" s="2">
        <v>2</v>
      </c>
      <c r="G3891" s="2"/>
    </row>
    <row r="3892" spans="1:26" customHeight="1" ht="18" hidden="true" outlineLevel="3">
      <c r="A3892" s="2" t="s">
        <v>7292</v>
      </c>
      <c r="B3892" s="3" t="s">
        <v>7293</v>
      </c>
      <c r="C3892" s="2"/>
      <c r="D3892" s="2" t="s">
        <v>16</v>
      </c>
      <c r="E3892" s="4">
        <f>132.96*(1-Z1%)</f>
        <v>132.96</v>
      </c>
      <c r="F3892" s="2">
        <v>11</v>
      </c>
      <c r="G3892" s="2"/>
    </row>
    <row r="3893" spans="1:26" customHeight="1" ht="18" hidden="true" outlineLevel="3">
      <c r="A3893" s="2" t="s">
        <v>7294</v>
      </c>
      <c r="B3893" s="3" t="s">
        <v>7295</v>
      </c>
      <c r="C3893" s="2"/>
      <c r="D3893" s="2" t="s">
        <v>16</v>
      </c>
      <c r="E3893" s="4">
        <f>136.18*(1-Z1%)</f>
        <v>136.18</v>
      </c>
      <c r="F3893" s="2">
        <v>38</v>
      </c>
      <c r="G3893" s="2"/>
    </row>
    <row r="3894" spans="1:26" customHeight="1" ht="36" hidden="true" outlineLevel="3">
      <c r="A3894" s="2" t="s">
        <v>7296</v>
      </c>
      <c r="B3894" s="3" t="s">
        <v>7297</v>
      </c>
      <c r="C3894" s="2"/>
      <c r="D3894" s="2" t="s">
        <v>16</v>
      </c>
      <c r="E3894" s="4">
        <f>201.32*(1-Z1%)</f>
        <v>201.32</v>
      </c>
      <c r="F3894" s="2">
        <v>16</v>
      </c>
      <c r="G3894" s="2"/>
    </row>
    <row r="3895" spans="1:26" customHeight="1" ht="18" hidden="true" outlineLevel="3">
      <c r="A3895" s="2" t="s">
        <v>7298</v>
      </c>
      <c r="B3895" s="3" t="s">
        <v>7299</v>
      </c>
      <c r="C3895" s="2"/>
      <c r="D3895" s="2" t="s">
        <v>16</v>
      </c>
      <c r="E3895" s="4">
        <f>177.62*(1-Z1%)</f>
        <v>177.62</v>
      </c>
      <c r="F3895" s="2">
        <v>66</v>
      </c>
      <c r="G3895" s="2"/>
    </row>
    <row r="3896" spans="1:26" customHeight="1" ht="18" hidden="true" outlineLevel="3">
      <c r="A3896" s="2" t="s">
        <v>7300</v>
      </c>
      <c r="B3896" s="3" t="s">
        <v>7301</v>
      </c>
      <c r="C3896" s="2"/>
      <c r="D3896" s="2" t="s">
        <v>16</v>
      </c>
      <c r="E3896" s="4">
        <f>296.06*(1-Z1%)</f>
        <v>296.06</v>
      </c>
      <c r="F3896" s="2">
        <v>8</v>
      </c>
      <c r="G3896" s="2"/>
    </row>
    <row r="3897" spans="1:26" customHeight="1" ht="18" hidden="true" outlineLevel="3">
      <c r="A3897" s="2" t="s">
        <v>7302</v>
      </c>
      <c r="B3897" s="3" t="s">
        <v>7303</v>
      </c>
      <c r="C3897" s="2"/>
      <c r="D3897" s="2" t="s">
        <v>16</v>
      </c>
      <c r="E3897" s="4">
        <f>331.59*(1-Z1%)</f>
        <v>331.59</v>
      </c>
      <c r="F3897" s="2">
        <v>13</v>
      </c>
      <c r="G3897" s="2"/>
    </row>
    <row r="3898" spans="1:26" customHeight="1" ht="36" hidden="true" outlineLevel="3">
      <c r="A3898" s="2" t="s">
        <v>7304</v>
      </c>
      <c r="B3898" s="3" t="s">
        <v>7305</v>
      </c>
      <c r="C3898" s="2"/>
      <c r="D3898" s="2" t="s">
        <v>16</v>
      </c>
      <c r="E3898" s="4">
        <f>573.71*(1-Z1%)</f>
        <v>573.71</v>
      </c>
      <c r="F3898" s="2">
        <v>1</v>
      </c>
      <c r="G3898" s="2"/>
    </row>
    <row r="3899" spans="1:26" customHeight="1" ht="36" hidden="true" outlineLevel="3">
      <c r="A3899" s="2" t="s">
        <v>7306</v>
      </c>
      <c r="B3899" s="3" t="s">
        <v>7307</v>
      </c>
      <c r="C3899" s="2"/>
      <c r="D3899" s="2" t="s">
        <v>16</v>
      </c>
      <c r="E3899" s="4">
        <f>188.28*(1-Z1%)</f>
        <v>188.28</v>
      </c>
      <c r="F3899" s="2">
        <v>32</v>
      </c>
      <c r="G3899" s="2"/>
    </row>
    <row r="3900" spans="1:26" customHeight="1" ht="36" hidden="true" outlineLevel="3">
      <c r="A3900" s="2" t="s">
        <v>7308</v>
      </c>
      <c r="B3900" s="3" t="s">
        <v>7309</v>
      </c>
      <c r="C3900" s="2"/>
      <c r="D3900" s="2" t="s">
        <v>16</v>
      </c>
      <c r="E3900" s="4">
        <f>161.54*(1-Z1%)</f>
        <v>161.54</v>
      </c>
      <c r="F3900" s="2">
        <v>20</v>
      </c>
      <c r="G3900" s="2"/>
    </row>
    <row r="3901" spans="1:26" customHeight="1" ht="36" hidden="true" outlineLevel="3">
      <c r="A3901" s="2" t="s">
        <v>7310</v>
      </c>
      <c r="B3901" s="3" t="s">
        <v>7311</v>
      </c>
      <c r="C3901" s="2"/>
      <c r="D3901" s="2" t="s">
        <v>16</v>
      </c>
      <c r="E3901" s="4">
        <f>193.57*(1-Z1%)</f>
        <v>193.57</v>
      </c>
      <c r="F3901" s="2">
        <v>10</v>
      </c>
      <c r="G3901" s="2"/>
    </row>
    <row r="3902" spans="1:26" customHeight="1" ht="36" hidden="true" outlineLevel="3">
      <c r="A3902" s="2" t="s">
        <v>7312</v>
      </c>
      <c r="B3902" s="3" t="s">
        <v>7313</v>
      </c>
      <c r="C3902" s="2"/>
      <c r="D3902" s="2" t="s">
        <v>16</v>
      </c>
      <c r="E3902" s="4">
        <f>251.77*(1-Z1%)</f>
        <v>251.77</v>
      </c>
      <c r="F3902" s="2">
        <v>8</v>
      </c>
      <c r="G3902" s="2"/>
    </row>
    <row r="3903" spans="1:26" customHeight="1" ht="36" hidden="true" outlineLevel="3">
      <c r="A3903" s="2" t="s">
        <v>7314</v>
      </c>
      <c r="B3903" s="3" t="s">
        <v>7315</v>
      </c>
      <c r="C3903" s="2"/>
      <c r="D3903" s="2" t="s">
        <v>16</v>
      </c>
      <c r="E3903" s="4">
        <f>346.73*(1-Z1%)</f>
        <v>346.73</v>
      </c>
      <c r="F3903" s="2">
        <v>4</v>
      </c>
      <c r="G3903" s="2"/>
    </row>
    <row r="3904" spans="1:26" customHeight="1" ht="36" hidden="true" outlineLevel="3">
      <c r="A3904" s="2" t="s">
        <v>7316</v>
      </c>
      <c r="B3904" s="3" t="s">
        <v>7317</v>
      </c>
      <c r="C3904" s="2"/>
      <c r="D3904" s="2" t="s">
        <v>16</v>
      </c>
      <c r="E3904" s="4">
        <f>776.88*(1-Z1%)</f>
        <v>776.88</v>
      </c>
      <c r="F3904" s="2">
        <v>2</v>
      </c>
      <c r="G3904" s="2"/>
    </row>
    <row r="3905" spans="1:26" customHeight="1" ht="18" hidden="true" outlineLevel="3">
      <c r="A3905" s="2" t="s">
        <v>7318</v>
      </c>
      <c r="B3905" s="3" t="s">
        <v>7319</v>
      </c>
      <c r="C3905" s="2"/>
      <c r="D3905" s="2" t="s">
        <v>16</v>
      </c>
      <c r="E3905" s="4">
        <f>476.10*(1-Z1%)</f>
        <v>476.1</v>
      </c>
      <c r="F3905" s="2">
        <v>2</v>
      </c>
      <c r="G3905" s="2"/>
    </row>
    <row r="3906" spans="1:26" customHeight="1" ht="36" hidden="true" outlineLevel="3">
      <c r="A3906" s="2" t="s">
        <v>7320</v>
      </c>
      <c r="B3906" s="3" t="s">
        <v>7321</v>
      </c>
      <c r="C3906" s="2"/>
      <c r="D3906" s="2" t="s">
        <v>16</v>
      </c>
      <c r="E3906" s="4">
        <f>476.10*(1-Z1%)</f>
        <v>476.1</v>
      </c>
      <c r="F3906" s="2">
        <v>2</v>
      </c>
      <c r="G3906" s="2"/>
    </row>
    <row r="3907" spans="1:26" customHeight="1" ht="18" hidden="true" outlineLevel="3">
      <c r="A3907" s="2" t="s">
        <v>7322</v>
      </c>
      <c r="B3907" s="3" t="s">
        <v>7323</v>
      </c>
      <c r="C3907" s="2"/>
      <c r="D3907" s="2" t="s">
        <v>16</v>
      </c>
      <c r="E3907" s="4">
        <f>137.03*(1-Z1%)</f>
        <v>137.03</v>
      </c>
      <c r="F3907" s="2">
        <v>5</v>
      </c>
      <c r="G3907" s="2"/>
    </row>
    <row r="3908" spans="1:26" customHeight="1" ht="18" hidden="true" outlineLevel="3">
      <c r="A3908" s="2" t="s">
        <v>7324</v>
      </c>
      <c r="B3908" s="3" t="s">
        <v>7325</v>
      </c>
      <c r="C3908" s="2"/>
      <c r="D3908" s="2" t="s">
        <v>16</v>
      </c>
      <c r="E3908" s="4">
        <f>534.63*(1-Z1%)</f>
        <v>534.63</v>
      </c>
      <c r="F3908" s="2">
        <v>2</v>
      </c>
      <c r="G3908" s="2"/>
    </row>
    <row r="3909" spans="1:26" customHeight="1" ht="18" hidden="true" outlineLevel="3">
      <c r="A3909" s="2" t="s">
        <v>7326</v>
      </c>
      <c r="B3909" s="3" t="s">
        <v>7327</v>
      </c>
      <c r="C3909" s="2"/>
      <c r="D3909" s="2" t="s">
        <v>16</v>
      </c>
      <c r="E3909" s="4">
        <f>587.92*(1-Z1%)</f>
        <v>587.92</v>
      </c>
      <c r="F3909" s="2">
        <v>4</v>
      </c>
      <c r="G3909" s="2"/>
    </row>
    <row r="3910" spans="1:26" customHeight="1" ht="35" hidden="true" outlineLevel="3">
      <c r="A3910" s="5" t="s">
        <v>7328</v>
      </c>
      <c r="B3910" s="5"/>
      <c r="C3910" s="5"/>
      <c r="D3910" s="5"/>
      <c r="E3910" s="5"/>
      <c r="F3910" s="5"/>
      <c r="G3910" s="5"/>
    </row>
    <row r="3911" spans="1:26" customHeight="1" ht="18" hidden="true" outlineLevel="3">
      <c r="A3911" s="2" t="s">
        <v>7329</v>
      </c>
      <c r="B3911" s="3" t="s">
        <v>7330</v>
      </c>
      <c r="C3911" s="2"/>
      <c r="D3911" s="2" t="s">
        <v>16</v>
      </c>
      <c r="E3911" s="4">
        <f>445.13*(1-Z1%)</f>
        <v>445.13</v>
      </c>
      <c r="F3911" s="2">
        <v>2</v>
      </c>
      <c r="G3911" s="2"/>
    </row>
    <row r="3912" spans="1:26" customHeight="1" ht="36" hidden="true" outlineLevel="3">
      <c r="A3912" s="2" t="s">
        <v>7331</v>
      </c>
      <c r="B3912" s="3" t="s">
        <v>7332</v>
      </c>
      <c r="C3912" s="2"/>
      <c r="D3912" s="2" t="s">
        <v>16</v>
      </c>
      <c r="E3912" s="4">
        <f>158.29*(1-Z1%)</f>
        <v>158.29</v>
      </c>
      <c r="F3912" s="2">
        <v>1</v>
      </c>
      <c r="G3912" s="2"/>
    </row>
    <row r="3913" spans="1:26" customHeight="1" ht="36" hidden="true" outlineLevel="3">
      <c r="A3913" s="2" t="s">
        <v>7333</v>
      </c>
      <c r="B3913" s="3" t="s">
        <v>7334</v>
      </c>
      <c r="C3913" s="2"/>
      <c r="D3913" s="2" t="s">
        <v>16</v>
      </c>
      <c r="E3913" s="4">
        <f>196.09*(1-Z1%)</f>
        <v>196.09</v>
      </c>
      <c r="F3913" s="2">
        <v>5</v>
      </c>
      <c r="G3913" s="2"/>
    </row>
    <row r="3914" spans="1:26" customHeight="1" ht="18" hidden="true" outlineLevel="3">
      <c r="A3914" s="2" t="s">
        <v>7335</v>
      </c>
      <c r="B3914" s="3" t="s">
        <v>7336</v>
      </c>
      <c r="C3914" s="2"/>
      <c r="D3914" s="2" t="s">
        <v>16</v>
      </c>
      <c r="E3914" s="4">
        <f>150.10*(1-Z1%)</f>
        <v>150.1</v>
      </c>
      <c r="F3914" s="2">
        <v>1</v>
      </c>
      <c r="G3914" s="2"/>
    </row>
    <row r="3915" spans="1:26" customHeight="1" ht="18" hidden="true" outlineLevel="3">
      <c r="A3915" s="2" t="s">
        <v>7337</v>
      </c>
      <c r="B3915" s="3" t="s">
        <v>7338</v>
      </c>
      <c r="C3915" s="2"/>
      <c r="D3915" s="2" t="s">
        <v>16</v>
      </c>
      <c r="E3915" s="4">
        <f>140.62*(1-Z1%)</f>
        <v>140.62</v>
      </c>
      <c r="F3915" s="2">
        <v>4</v>
      </c>
      <c r="G3915" s="2"/>
    </row>
    <row r="3916" spans="1:26" customHeight="1" ht="18" hidden="true" outlineLevel="3">
      <c r="A3916" s="2" t="s">
        <v>7339</v>
      </c>
      <c r="B3916" s="3" t="s">
        <v>7340</v>
      </c>
      <c r="C3916" s="2"/>
      <c r="D3916" s="2" t="s">
        <v>16</v>
      </c>
      <c r="E3916" s="4">
        <f>186.34*(1-Z1%)</f>
        <v>186.34</v>
      </c>
      <c r="F3916" s="2">
        <v>3</v>
      </c>
      <c r="G3916" s="2"/>
    </row>
    <row r="3917" spans="1:26" customHeight="1" ht="36" hidden="true" outlineLevel="3">
      <c r="A3917" s="2" t="s">
        <v>7341</v>
      </c>
      <c r="B3917" s="3" t="s">
        <v>7342</v>
      </c>
      <c r="C3917" s="2"/>
      <c r="D3917" s="2" t="s">
        <v>16</v>
      </c>
      <c r="E3917" s="4">
        <f>189.00*(1-Z1%)</f>
        <v>189</v>
      </c>
      <c r="F3917" s="2">
        <v>1</v>
      </c>
      <c r="G3917" s="2"/>
    </row>
    <row r="3918" spans="1:26" customHeight="1" ht="18" hidden="true" outlineLevel="3">
      <c r="A3918" s="2" t="s">
        <v>7343</v>
      </c>
      <c r="B3918" s="3" t="s">
        <v>7344</v>
      </c>
      <c r="C3918" s="2"/>
      <c r="D3918" s="2" t="s">
        <v>16</v>
      </c>
      <c r="E3918" s="4">
        <f>192.59*(1-Z1%)</f>
        <v>192.59</v>
      </c>
      <c r="F3918" s="2">
        <v>3</v>
      </c>
      <c r="G3918" s="2"/>
    </row>
    <row r="3919" spans="1:26" customHeight="1" ht="18" hidden="true" outlineLevel="3">
      <c r="A3919" s="2" t="s">
        <v>7345</v>
      </c>
      <c r="B3919" s="3" t="s">
        <v>7346</v>
      </c>
      <c r="C3919" s="2"/>
      <c r="D3919" s="2" t="s">
        <v>16</v>
      </c>
      <c r="E3919" s="4">
        <f>180.77*(1-Z1%)</f>
        <v>180.77</v>
      </c>
      <c r="F3919" s="2">
        <v>1</v>
      </c>
      <c r="G3919" s="2"/>
    </row>
    <row r="3920" spans="1:26" customHeight="1" ht="18" hidden="true" outlineLevel="3">
      <c r="A3920" s="2" t="s">
        <v>7347</v>
      </c>
      <c r="B3920" s="3" t="s">
        <v>7348</v>
      </c>
      <c r="C3920" s="2"/>
      <c r="D3920" s="2" t="s">
        <v>16</v>
      </c>
      <c r="E3920" s="4">
        <f>199.67*(1-Z1%)</f>
        <v>199.67</v>
      </c>
      <c r="F3920" s="2">
        <v>1</v>
      </c>
      <c r="G3920" s="2"/>
    </row>
    <row r="3921" spans="1:26" customHeight="1" ht="18" hidden="true" outlineLevel="3">
      <c r="A3921" s="2" t="s">
        <v>7349</v>
      </c>
      <c r="B3921" s="3" t="s">
        <v>7350</v>
      </c>
      <c r="C3921" s="2"/>
      <c r="D3921" s="2" t="s">
        <v>16</v>
      </c>
      <c r="E3921" s="4">
        <f>207.04*(1-Z1%)</f>
        <v>207.04</v>
      </c>
      <c r="F3921" s="2">
        <v>2</v>
      </c>
      <c r="G3921" s="2"/>
    </row>
    <row r="3922" spans="1:26" customHeight="1" ht="18" hidden="true" outlineLevel="3">
      <c r="A3922" s="2" t="s">
        <v>7351</v>
      </c>
      <c r="B3922" s="3" t="s">
        <v>7352</v>
      </c>
      <c r="C3922" s="2"/>
      <c r="D3922" s="2" t="s">
        <v>16</v>
      </c>
      <c r="E3922" s="4">
        <f>258.80*(1-Z1%)</f>
        <v>258.8</v>
      </c>
      <c r="F3922" s="2">
        <v>2</v>
      </c>
      <c r="G3922" s="2"/>
    </row>
    <row r="3923" spans="1:26" customHeight="1" ht="18" hidden="true" outlineLevel="3">
      <c r="A3923" s="2" t="s">
        <v>7353</v>
      </c>
      <c r="B3923" s="3" t="s">
        <v>7354</v>
      </c>
      <c r="C3923" s="2"/>
      <c r="D3923" s="2" t="s">
        <v>16</v>
      </c>
      <c r="E3923" s="4">
        <f>455.97*(1-Z1%)</f>
        <v>455.97</v>
      </c>
      <c r="F3923" s="2">
        <v>1</v>
      </c>
      <c r="G3923" s="2"/>
    </row>
    <row r="3924" spans="1:26" customHeight="1" ht="18" hidden="true" outlineLevel="3">
      <c r="A3924" s="2" t="s">
        <v>7355</v>
      </c>
      <c r="B3924" s="3" t="s">
        <v>7356</v>
      </c>
      <c r="C3924" s="2"/>
      <c r="D3924" s="2" t="s">
        <v>16</v>
      </c>
      <c r="E3924" s="4">
        <f>179.55*(1-Z1%)</f>
        <v>179.55</v>
      </c>
      <c r="F3924" s="2">
        <v>2</v>
      </c>
      <c r="G3924" s="2"/>
    </row>
    <row r="3925" spans="1:26" customHeight="1" ht="18" hidden="true" outlineLevel="3">
      <c r="A3925" s="2" t="s">
        <v>7357</v>
      </c>
      <c r="B3925" s="3" t="s">
        <v>7358</v>
      </c>
      <c r="C3925" s="2"/>
      <c r="D3925" s="2" t="s">
        <v>16</v>
      </c>
      <c r="E3925" s="4">
        <f>190.22*(1-Z1%)</f>
        <v>190.22</v>
      </c>
      <c r="F3925" s="2">
        <v>1</v>
      </c>
      <c r="G3925" s="2"/>
    </row>
    <row r="3926" spans="1:26" customHeight="1" ht="18" hidden="true" outlineLevel="3">
      <c r="A3926" s="2" t="s">
        <v>7359</v>
      </c>
      <c r="B3926" s="3" t="s">
        <v>7360</v>
      </c>
      <c r="C3926" s="2"/>
      <c r="D3926" s="2" t="s">
        <v>16</v>
      </c>
      <c r="E3926" s="4">
        <f>214.99*(1-Z1%)</f>
        <v>214.99</v>
      </c>
      <c r="F3926" s="2">
        <v>1</v>
      </c>
      <c r="G3926" s="2"/>
    </row>
    <row r="3927" spans="1:26" customHeight="1" ht="18" hidden="true" outlineLevel="3">
      <c r="A3927" s="2" t="s">
        <v>7361</v>
      </c>
      <c r="B3927" s="3" t="s">
        <v>7362</v>
      </c>
      <c r="C3927" s="2"/>
      <c r="D3927" s="2" t="s">
        <v>16</v>
      </c>
      <c r="E3927" s="4">
        <f>222.57*(1-Z1%)</f>
        <v>222.57</v>
      </c>
      <c r="F3927" s="2">
        <v>3</v>
      </c>
      <c r="G3927" s="2"/>
    </row>
    <row r="3928" spans="1:26" customHeight="1" ht="18" hidden="true" outlineLevel="3">
      <c r="A3928" s="2" t="s">
        <v>7363</v>
      </c>
      <c r="B3928" s="3" t="s">
        <v>7364</v>
      </c>
      <c r="C3928" s="2"/>
      <c r="D3928" s="2" t="s">
        <v>16</v>
      </c>
      <c r="E3928" s="4">
        <f>248.45*(1-Z1%)</f>
        <v>248.45</v>
      </c>
      <c r="F3928" s="2">
        <v>3</v>
      </c>
      <c r="G3928" s="2"/>
    </row>
    <row r="3929" spans="1:26" customHeight="1" ht="18" hidden="true" outlineLevel="3">
      <c r="A3929" s="2" t="s">
        <v>7365</v>
      </c>
      <c r="B3929" s="3" t="s">
        <v>7366</v>
      </c>
      <c r="C3929" s="2"/>
      <c r="D3929" s="2" t="s">
        <v>16</v>
      </c>
      <c r="E3929" s="4">
        <f>445.13*(1-Z1%)</f>
        <v>445.13</v>
      </c>
      <c r="F3929" s="2">
        <v>2</v>
      </c>
      <c r="G3929" s="2"/>
    </row>
    <row r="3930" spans="1:26" customHeight="1" ht="18" hidden="true" outlineLevel="3">
      <c r="A3930" s="2" t="s">
        <v>7367</v>
      </c>
      <c r="B3930" s="3" t="s">
        <v>7368</v>
      </c>
      <c r="C3930" s="2"/>
      <c r="D3930" s="2" t="s">
        <v>16</v>
      </c>
      <c r="E3930" s="4">
        <f>331.25*(1-Z1%)</f>
        <v>331.25</v>
      </c>
      <c r="F3930" s="2">
        <v>1</v>
      </c>
      <c r="G3930" s="2"/>
    </row>
    <row r="3931" spans="1:26" customHeight="1" ht="18" hidden="true" outlineLevel="3">
      <c r="A3931" s="2" t="s">
        <v>7369</v>
      </c>
      <c r="B3931" s="3" t="s">
        <v>7370</v>
      </c>
      <c r="C3931" s="2"/>
      <c r="D3931" s="2" t="s">
        <v>16</v>
      </c>
      <c r="E3931" s="4">
        <f>238.10*(1-Z1%)</f>
        <v>238.1</v>
      </c>
      <c r="F3931" s="2">
        <v>4</v>
      </c>
      <c r="G3931" s="2"/>
    </row>
    <row r="3932" spans="1:26" customHeight="1" ht="18" hidden="true" outlineLevel="3">
      <c r="A3932" s="2" t="s">
        <v>7371</v>
      </c>
      <c r="B3932" s="3" t="s">
        <v>7372</v>
      </c>
      <c r="C3932" s="2"/>
      <c r="D3932" s="2" t="s">
        <v>16</v>
      </c>
      <c r="E3932" s="4">
        <f>129.40*(1-Z1%)</f>
        <v>129.4</v>
      </c>
      <c r="F3932" s="2">
        <v>2</v>
      </c>
      <c r="G3932" s="2"/>
    </row>
    <row r="3933" spans="1:26" customHeight="1" ht="18" hidden="true" outlineLevel="3">
      <c r="A3933" s="2" t="s">
        <v>7373</v>
      </c>
      <c r="B3933" s="3" t="s">
        <v>7374</v>
      </c>
      <c r="C3933" s="2"/>
      <c r="D3933" s="2" t="s">
        <v>16</v>
      </c>
      <c r="E3933" s="4">
        <f>118.13*(1-Z1%)</f>
        <v>118.13</v>
      </c>
      <c r="F3933" s="2">
        <v>1</v>
      </c>
      <c r="G3933" s="2"/>
    </row>
    <row r="3934" spans="1:26" customHeight="1" ht="18" hidden="true" outlineLevel="3">
      <c r="A3934" s="2" t="s">
        <v>7375</v>
      </c>
      <c r="B3934" s="3" t="s">
        <v>7376</v>
      </c>
      <c r="C3934" s="2"/>
      <c r="D3934" s="2" t="s">
        <v>16</v>
      </c>
      <c r="E3934" s="4">
        <f>232.92*(1-Z1%)</f>
        <v>232.92</v>
      </c>
      <c r="F3934" s="2">
        <v>4</v>
      </c>
      <c r="G3934" s="2"/>
    </row>
    <row r="3935" spans="1:26" customHeight="1" ht="18" hidden="true" outlineLevel="3">
      <c r="A3935" s="2" t="s">
        <v>7377</v>
      </c>
      <c r="B3935" s="3" t="s">
        <v>7378</v>
      </c>
      <c r="C3935" s="2"/>
      <c r="D3935" s="2" t="s">
        <v>16</v>
      </c>
      <c r="E3935" s="4">
        <f>274.05*(1-Z1%)</f>
        <v>274.05</v>
      </c>
      <c r="F3935" s="2">
        <v>1</v>
      </c>
      <c r="G3935" s="2"/>
    </row>
    <row r="3936" spans="1:26" customHeight="1" ht="18" hidden="true" outlineLevel="3">
      <c r="A3936" s="2" t="s">
        <v>7379</v>
      </c>
      <c r="B3936" s="3" t="s">
        <v>7380</v>
      </c>
      <c r="C3936" s="2"/>
      <c r="D3936" s="2" t="s">
        <v>16</v>
      </c>
      <c r="E3936" s="4">
        <f>279.50*(1-Z1%)</f>
        <v>279.5</v>
      </c>
      <c r="F3936" s="2">
        <v>1</v>
      </c>
      <c r="G3936" s="2"/>
    </row>
    <row r="3937" spans="1:26" customHeight="1" ht="18" hidden="true" outlineLevel="3">
      <c r="A3937" s="2" t="s">
        <v>7381</v>
      </c>
      <c r="B3937" s="3" t="s">
        <v>7382</v>
      </c>
      <c r="C3937" s="2"/>
      <c r="D3937" s="2" t="s">
        <v>16</v>
      </c>
      <c r="E3937" s="4">
        <f>300.20*(1-Z1%)</f>
        <v>300.2</v>
      </c>
      <c r="F3937" s="2">
        <v>1</v>
      </c>
      <c r="G3937" s="2"/>
    </row>
    <row r="3938" spans="1:26" customHeight="1" ht="18" hidden="true" outlineLevel="3">
      <c r="A3938" s="2" t="s">
        <v>7383</v>
      </c>
      <c r="B3938" s="3" t="s">
        <v>7384</v>
      </c>
      <c r="C3938" s="2"/>
      <c r="D3938" s="2" t="s">
        <v>16</v>
      </c>
      <c r="E3938" s="4">
        <f>300.20*(1-Z1%)</f>
        <v>300.2</v>
      </c>
      <c r="F3938" s="2">
        <v>4</v>
      </c>
      <c r="G3938" s="2"/>
    </row>
    <row r="3939" spans="1:26" customHeight="1" ht="18" hidden="true" outlineLevel="3">
      <c r="A3939" s="2" t="s">
        <v>7385</v>
      </c>
      <c r="B3939" s="3" t="s">
        <v>7386</v>
      </c>
      <c r="C3939" s="2"/>
      <c r="D3939" s="2" t="s">
        <v>16</v>
      </c>
      <c r="E3939" s="4">
        <f>300.20*(1-Z1%)</f>
        <v>300.2</v>
      </c>
      <c r="F3939" s="2">
        <v>3</v>
      </c>
      <c r="G3939" s="2"/>
    </row>
    <row r="3940" spans="1:26" customHeight="1" ht="18" hidden="true" outlineLevel="3">
      <c r="A3940" s="2" t="s">
        <v>7387</v>
      </c>
      <c r="B3940" s="3" t="s">
        <v>7388</v>
      </c>
      <c r="C3940" s="2"/>
      <c r="D3940" s="2" t="s">
        <v>16</v>
      </c>
      <c r="E3940" s="4">
        <f>496.89*(1-Z1%)</f>
        <v>496.89</v>
      </c>
      <c r="F3940" s="2">
        <v>3</v>
      </c>
      <c r="G3940" s="2"/>
    </row>
    <row r="3941" spans="1:26" customHeight="1" ht="18" hidden="true" outlineLevel="3">
      <c r="A3941" s="2" t="s">
        <v>7389</v>
      </c>
      <c r="B3941" s="3" t="s">
        <v>7390</v>
      </c>
      <c r="C3941" s="2"/>
      <c r="D3941" s="2" t="s">
        <v>16</v>
      </c>
      <c r="E3941" s="4">
        <f>382.40*(1-Z1%)</f>
        <v>382.4</v>
      </c>
      <c r="F3941" s="2">
        <v>1</v>
      </c>
      <c r="G3941" s="2"/>
    </row>
    <row r="3942" spans="1:26" customHeight="1" ht="18" hidden="true" outlineLevel="3">
      <c r="A3942" s="2" t="s">
        <v>7391</v>
      </c>
      <c r="B3942" s="3" t="s">
        <v>7392</v>
      </c>
      <c r="C3942" s="2"/>
      <c r="D3942" s="2" t="s">
        <v>16</v>
      </c>
      <c r="E3942" s="4">
        <f>403.72*(1-Z1%)</f>
        <v>403.72</v>
      </c>
      <c r="F3942" s="2">
        <v>4</v>
      </c>
      <c r="G3942" s="2"/>
    </row>
    <row r="3943" spans="1:26" customHeight="1" ht="35" hidden="true" outlineLevel="3">
      <c r="A3943" s="5" t="s">
        <v>7393</v>
      </c>
      <c r="B3943" s="5"/>
      <c r="C3943" s="5"/>
      <c r="D3943" s="5"/>
      <c r="E3943" s="5"/>
      <c r="F3943" s="5"/>
      <c r="G3943" s="5"/>
    </row>
    <row r="3944" spans="1:26" customHeight="1" ht="35" hidden="true" outlineLevel="4">
      <c r="A3944" s="5" t="s">
        <v>7394</v>
      </c>
      <c r="B3944" s="5"/>
      <c r="C3944" s="5"/>
      <c r="D3944" s="5"/>
      <c r="E3944" s="5"/>
      <c r="F3944" s="5"/>
      <c r="G3944" s="5"/>
    </row>
    <row r="3945" spans="1:26" customHeight="1" ht="36" hidden="true" outlineLevel="4">
      <c r="A3945" s="2" t="s">
        <v>7395</v>
      </c>
      <c r="B3945" s="3" t="s">
        <v>7396</v>
      </c>
      <c r="C3945" s="2"/>
      <c r="D3945" s="2" t="s">
        <v>16</v>
      </c>
      <c r="E3945" s="4">
        <f>1800.98*(1-Z1%)</f>
        <v>1800.98</v>
      </c>
      <c r="F3945" s="2">
        <v>2</v>
      </c>
      <c r="G3945" s="2"/>
    </row>
    <row r="3946" spans="1:26" customHeight="1" ht="18" hidden="true" outlineLevel="4">
      <c r="A3946" s="2" t="s">
        <v>7397</v>
      </c>
      <c r="B3946" s="3" t="s">
        <v>7398</v>
      </c>
      <c r="C3946" s="2"/>
      <c r="D3946" s="2" t="s">
        <v>16</v>
      </c>
      <c r="E3946" s="4">
        <f>2274.30*(1-Z1%)</f>
        <v>2274.3</v>
      </c>
      <c r="F3946" s="2">
        <v>1</v>
      </c>
      <c r="G3946" s="2"/>
    </row>
    <row r="3947" spans="1:26" customHeight="1" ht="36" hidden="true" outlineLevel="4">
      <c r="A3947" s="2" t="s">
        <v>7399</v>
      </c>
      <c r="B3947" s="3" t="s">
        <v>7400</v>
      </c>
      <c r="C3947" s="2"/>
      <c r="D3947" s="2" t="s">
        <v>16</v>
      </c>
      <c r="E3947" s="4">
        <f>3027.94*(1-Z1%)</f>
        <v>3027.94</v>
      </c>
      <c r="F3947" s="2">
        <v>1</v>
      </c>
      <c r="G3947" s="2"/>
    </row>
    <row r="3948" spans="1:26" customHeight="1" ht="18" hidden="true" outlineLevel="4">
      <c r="A3948" s="2" t="s">
        <v>7401</v>
      </c>
      <c r="B3948" s="3" t="s">
        <v>7402</v>
      </c>
      <c r="C3948" s="2"/>
      <c r="D3948" s="2" t="s">
        <v>16</v>
      </c>
      <c r="E3948" s="4">
        <f>2894.06*(1-Z1%)</f>
        <v>2894.06</v>
      </c>
      <c r="F3948" s="2">
        <v>2</v>
      </c>
      <c r="G3948" s="2"/>
    </row>
    <row r="3949" spans="1:26" customHeight="1" ht="18" hidden="true" outlineLevel="4">
      <c r="A3949" s="2" t="s">
        <v>7403</v>
      </c>
      <c r="B3949" s="3" t="s">
        <v>7404</v>
      </c>
      <c r="C3949" s="2"/>
      <c r="D3949" s="2" t="s">
        <v>16</v>
      </c>
      <c r="E3949" s="4">
        <f>1293.75*(1-Z1%)</f>
        <v>1293.75</v>
      </c>
      <c r="F3949" s="2">
        <v>4</v>
      </c>
      <c r="G3949" s="2"/>
    </row>
    <row r="3950" spans="1:26" customHeight="1" ht="36" hidden="true" outlineLevel="4">
      <c r="A3950" s="2" t="s">
        <v>7405</v>
      </c>
      <c r="B3950" s="3" t="s">
        <v>7406</v>
      </c>
      <c r="C3950" s="2"/>
      <c r="D3950" s="2" t="s">
        <v>16</v>
      </c>
      <c r="E3950" s="4">
        <f>2282.44*(1-Z1%)</f>
        <v>2282.44</v>
      </c>
      <c r="F3950" s="2">
        <v>1</v>
      </c>
      <c r="G3950" s="2"/>
    </row>
    <row r="3951" spans="1:26" customHeight="1" ht="35" hidden="true" outlineLevel="4">
      <c r="A3951" s="5" t="s">
        <v>7407</v>
      </c>
      <c r="B3951" s="5"/>
      <c r="C3951" s="5"/>
      <c r="D3951" s="5"/>
      <c r="E3951" s="5"/>
      <c r="F3951" s="5"/>
      <c r="G3951" s="5"/>
    </row>
    <row r="3952" spans="1:26" customHeight="1" ht="36" hidden="true" outlineLevel="4">
      <c r="A3952" s="2" t="s">
        <v>7408</v>
      </c>
      <c r="B3952" s="3" t="s">
        <v>7409</v>
      </c>
      <c r="C3952" s="2"/>
      <c r="D3952" s="2" t="s">
        <v>16</v>
      </c>
      <c r="E3952" s="4">
        <f>96.65*(1-Z1%)</f>
        <v>96.65</v>
      </c>
      <c r="F3952" s="2">
        <v>9</v>
      </c>
      <c r="G3952" s="2"/>
    </row>
    <row r="3953" spans="1:26" customHeight="1" ht="35" hidden="true" outlineLevel="4">
      <c r="A3953" s="5" t="s">
        <v>7410</v>
      </c>
      <c r="B3953" s="5"/>
      <c r="C3953" s="5"/>
      <c r="D3953" s="5"/>
      <c r="E3953" s="5"/>
      <c r="F3953" s="5"/>
      <c r="G3953" s="5"/>
    </row>
    <row r="3954" spans="1:26" customHeight="1" ht="36" hidden="true" outlineLevel="4">
      <c r="A3954" s="2" t="s">
        <v>7411</v>
      </c>
      <c r="B3954" s="3" t="s">
        <v>7412</v>
      </c>
      <c r="C3954" s="2"/>
      <c r="D3954" s="2" t="s">
        <v>16</v>
      </c>
      <c r="E3954" s="4">
        <f>322.55*(1-Z1%)</f>
        <v>322.55</v>
      </c>
      <c r="F3954" s="2">
        <v>1</v>
      </c>
      <c r="G3954" s="2"/>
    </row>
    <row r="3955" spans="1:26" customHeight="1" ht="36" hidden="true" outlineLevel="4">
      <c r="A3955" s="2" t="s">
        <v>7413</v>
      </c>
      <c r="B3955" s="3" t="s">
        <v>7414</v>
      </c>
      <c r="C3955" s="2"/>
      <c r="D3955" s="2" t="s">
        <v>16</v>
      </c>
      <c r="E3955" s="4">
        <f>332.50*(1-Z1%)</f>
        <v>332.5</v>
      </c>
      <c r="F3955" s="2">
        <v>3</v>
      </c>
      <c r="G3955" s="2"/>
    </row>
    <row r="3956" spans="1:26" customHeight="1" ht="18" hidden="true" outlineLevel="4">
      <c r="A3956" s="2" t="s">
        <v>7415</v>
      </c>
      <c r="B3956" s="3" t="s">
        <v>7416</v>
      </c>
      <c r="C3956" s="2"/>
      <c r="D3956" s="2" t="s">
        <v>16</v>
      </c>
      <c r="E3956" s="4">
        <f>653.62*(1-Z1%)</f>
        <v>653.62</v>
      </c>
      <c r="F3956" s="2">
        <v>2</v>
      </c>
      <c r="G3956" s="2"/>
    </row>
    <row r="3957" spans="1:26" customHeight="1" ht="36" hidden="true" outlineLevel="4">
      <c r="A3957" s="2" t="s">
        <v>7417</v>
      </c>
      <c r="B3957" s="3" t="s">
        <v>7418</v>
      </c>
      <c r="C3957" s="2"/>
      <c r="D3957" s="2" t="s">
        <v>16</v>
      </c>
      <c r="E3957" s="4">
        <f>534.87*(1-Z1%)</f>
        <v>534.87</v>
      </c>
      <c r="F3957" s="2">
        <v>1</v>
      </c>
      <c r="G3957" s="2"/>
    </row>
    <row r="3958" spans="1:26" customHeight="1" ht="36" hidden="true" outlineLevel="4">
      <c r="A3958" s="2" t="s">
        <v>7419</v>
      </c>
      <c r="B3958" s="3" t="s">
        <v>7420</v>
      </c>
      <c r="C3958" s="2"/>
      <c r="D3958" s="2" t="s">
        <v>16</v>
      </c>
      <c r="E3958" s="4">
        <f>855.99*(1-Z1%)</f>
        <v>855.99</v>
      </c>
      <c r="F3958" s="2">
        <v>8</v>
      </c>
      <c r="G3958" s="2"/>
    </row>
    <row r="3959" spans="1:26" customHeight="1" ht="18" hidden="true" outlineLevel="4">
      <c r="A3959" s="2" t="s">
        <v>7421</v>
      </c>
      <c r="B3959" s="3" t="s">
        <v>7422</v>
      </c>
      <c r="C3959" s="2"/>
      <c r="D3959" s="2" t="s">
        <v>16</v>
      </c>
      <c r="E3959" s="4">
        <f>893.87*(1-Z1%)</f>
        <v>893.87</v>
      </c>
      <c r="F3959" s="2">
        <v>3</v>
      </c>
      <c r="G3959" s="2"/>
    </row>
    <row r="3960" spans="1:26" customHeight="1" ht="35" hidden="true" outlineLevel="2">
      <c r="A3960" s="5" t="s">
        <v>7423</v>
      </c>
      <c r="B3960" s="5"/>
      <c r="C3960" s="5"/>
      <c r="D3960" s="5"/>
      <c r="E3960" s="5"/>
      <c r="F3960" s="5"/>
      <c r="G3960" s="5"/>
    </row>
    <row r="3961" spans="1:26" customHeight="1" ht="35" hidden="true" outlineLevel="3">
      <c r="A3961" s="5" t="s">
        <v>7424</v>
      </c>
      <c r="B3961" s="5"/>
      <c r="C3961" s="5"/>
      <c r="D3961" s="5"/>
      <c r="E3961" s="5"/>
      <c r="F3961" s="5"/>
      <c r="G3961" s="5"/>
    </row>
    <row r="3962" spans="1:26" customHeight="1" ht="36" hidden="true" outlineLevel="3">
      <c r="A3962" s="2" t="s">
        <v>7425</v>
      </c>
      <c r="B3962" s="3" t="s">
        <v>7426</v>
      </c>
      <c r="C3962" s="2"/>
      <c r="D3962" s="2" t="s">
        <v>16</v>
      </c>
      <c r="E3962" s="4">
        <f>21.06*(1-Z1%)</f>
        <v>21.06</v>
      </c>
      <c r="F3962" s="2">
        <v>739</v>
      </c>
      <c r="G3962" s="2"/>
    </row>
    <row r="3963" spans="1:26" customHeight="1" ht="18" hidden="true" outlineLevel="3">
      <c r="A3963" s="2" t="s">
        <v>7427</v>
      </c>
      <c r="B3963" s="3" t="s">
        <v>7428</v>
      </c>
      <c r="C3963" s="2"/>
      <c r="D3963" s="2" t="s">
        <v>16</v>
      </c>
      <c r="E3963" s="4">
        <f>18.22*(1-Z1%)</f>
        <v>18.22</v>
      </c>
      <c r="F3963" s="2">
        <v>628</v>
      </c>
      <c r="G3963" s="2"/>
    </row>
    <row r="3964" spans="1:26" customHeight="1" ht="18" hidden="true" outlineLevel="3">
      <c r="A3964" s="2" t="s">
        <v>7429</v>
      </c>
      <c r="B3964" s="3" t="s">
        <v>7430</v>
      </c>
      <c r="C3964" s="2"/>
      <c r="D3964" s="2" t="s">
        <v>16</v>
      </c>
      <c r="E3964" s="4">
        <f>8.42*(1-Z1%)</f>
        <v>8.42</v>
      </c>
      <c r="F3964" s="2">
        <v>392</v>
      </c>
      <c r="G3964" s="2"/>
    </row>
    <row r="3965" spans="1:26" customHeight="1" ht="18" hidden="true" outlineLevel="3">
      <c r="A3965" s="2" t="s">
        <v>7431</v>
      </c>
      <c r="B3965" s="3" t="s">
        <v>7432</v>
      </c>
      <c r="C3965" s="2"/>
      <c r="D3965" s="2" t="s">
        <v>16</v>
      </c>
      <c r="E3965" s="4">
        <f>45.49*(1-Z1%)</f>
        <v>45.49</v>
      </c>
      <c r="F3965" s="2">
        <v>336</v>
      </c>
      <c r="G3965" s="2"/>
    </row>
    <row r="3966" spans="1:26" customHeight="1" ht="18" hidden="true" outlineLevel="3">
      <c r="A3966" s="2" t="s">
        <v>7433</v>
      </c>
      <c r="B3966" s="3" t="s">
        <v>7434</v>
      </c>
      <c r="C3966" s="2"/>
      <c r="D3966" s="2" t="s">
        <v>16</v>
      </c>
      <c r="E3966" s="4">
        <f>43.12*(1-Z1%)</f>
        <v>43.12</v>
      </c>
      <c r="F3966" s="2">
        <v>444</v>
      </c>
      <c r="G3966" s="2"/>
    </row>
    <row r="3967" spans="1:26" customHeight="1" ht="18" hidden="true" outlineLevel="3">
      <c r="A3967" s="2" t="s">
        <v>7435</v>
      </c>
      <c r="B3967" s="3" t="s">
        <v>7436</v>
      </c>
      <c r="C3967" s="2"/>
      <c r="D3967" s="2" t="s">
        <v>16</v>
      </c>
      <c r="E3967" s="4">
        <f>50.24*(1-Z1%)</f>
        <v>50.24</v>
      </c>
      <c r="F3967" s="2">
        <v>220</v>
      </c>
      <c r="G3967" s="2"/>
    </row>
    <row r="3968" spans="1:26" customHeight="1" ht="18" hidden="true" outlineLevel="3">
      <c r="A3968" s="2" t="s">
        <v>7437</v>
      </c>
      <c r="B3968" s="3" t="s">
        <v>7438</v>
      </c>
      <c r="C3968" s="2"/>
      <c r="D3968" s="2" t="s">
        <v>16</v>
      </c>
      <c r="E3968" s="4">
        <f>41.94*(1-Z1%)</f>
        <v>41.94</v>
      </c>
      <c r="F3968" s="2">
        <v>280</v>
      </c>
      <c r="G3968" s="2"/>
    </row>
    <row r="3969" spans="1:26" customHeight="1" ht="18" hidden="true" outlineLevel="3">
      <c r="A3969" s="2" t="s">
        <v>7439</v>
      </c>
      <c r="B3969" s="3" t="s">
        <v>7440</v>
      </c>
      <c r="C3969" s="2"/>
      <c r="D3969" s="2" t="s">
        <v>16</v>
      </c>
      <c r="E3969" s="4">
        <f>53.65*(1-Z1%)</f>
        <v>53.65</v>
      </c>
      <c r="F3969" s="2">
        <v>30</v>
      </c>
      <c r="G3969" s="2"/>
    </row>
    <row r="3970" spans="1:26" customHeight="1" ht="36" hidden="true" outlineLevel="3">
      <c r="A3970" s="2" t="s">
        <v>7441</v>
      </c>
      <c r="B3970" s="3" t="s">
        <v>7442</v>
      </c>
      <c r="C3970" s="2"/>
      <c r="D3970" s="2" t="s">
        <v>16</v>
      </c>
      <c r="E3970" s="4">
        <f>38.26*(1-Z1%)</f>
        <v>38.26</v>
      </c>
      <c r="F3970" s="2">
        <v>108</v>
      </c>
      <c r="G3970" s="2"/>
    </row>
    <row r="3971" spans="1:26" customHeight="1" ht="18" hidden="true" outlineLevel="3">
      <c r="A3971" s="2" t="s">
        <v>7443</v>
      </c>
      <c r="B3971" s="3" t="s">
        <v>7444</v>
      </c>
      <c r="C3971" s="2"/>
      <c r="D3971" s="2" t="s">
        <v>16</v>
      </c>
      <c r="E3971" s="4">
        <f>41.07*(1-Z1%)</f>
        <v>41.07</v>
      </c>
      <c r="F3971" s="2">
        <v>4</v>
      </c>
      <c r="G3971" s="2"/>
    </row>
    <row r="3972" spans="1:26" customHeight="1" ht="18" hidden="true" outlineLevel="3">
      <c r="A3972" s="2" t="s">
        <v>7445</v>
      </c>
      <c r="B3972" s="3" t="s">
        <v>7446</v>
      </c>
      <c r="C3972" s="2"/>
      <c r="D3972" s="2" t="s">
        <v>16</v>
      </c>
      <c r="E3972" s="4">
        <f>44.44*(1-Z1%)</f>
        <v>44.44</v>
      </c>
      <c r="F3972" s="2">
        <v>480</v>
      </c>
      <c r="G3972" s="2"/>
    </row>
    <row r="3973" spans="1:26" customHeight="1" ht="18" hidden="true" outlineLevel="3">
      <c r="A3973" s="2" t="s">
        <v>7447</v>
      </c>
      <c r="B3973" s="3" t="s">
        <v>7448</v>
      </c>
      <c r="C3973" s="2"/>
      <c r="D3973" s="2" t="s">
        <v>16</v>
      </c>
      <c r="E3973" s="4">
        <f>44.44*(1-Z1%)</f>
        <v>44.44</v>
      </c>
      <c r="F3973" s="2">
        <v>288</v>
      </c>
      <c r="G3973" s="2"/>
    </row>
    <row r="3974" spans="1:26" customHeight="1" ht="18" hidden="true" outlineLevel="3">
      <c r="A3974" s="2" t="s">
        <v>7449</v>
      </c>
      <c r="B3974" s="3" t="s">
        <v>7450</v>
      </c>
      <c r="C3974" s="2"/>
      <c r="D3974" s="2" t="s">
        <v>16</v>
      </c>
      <c r="E3974" s="4">
        <f>45.00*(1-Z1%)</f>
        <v>45</v>
      </c>
      <c r="F3974" s="2">
        <v>340</v>
      </c>
      <c r="G3974" s="2"/>
    </row>
    <row r="3975" spans="1:26" customHeight="1" ht="18" hidden="true" outlineLevel="3">
      <c r="A3975" s="2" t="s">
        <v>7451</v>
      </c>
      <c r="B3975" s="3" t="s">
        <v>7452</v>
      </c>
      <c r="C3975" s="2"/>
      <c r="D3975" s="2" t="s">
        <v>16</v>
      </c>
      <c r="E3975" s="4">
        <f>38.26*(1-Z1%)</f>
        <v>38.26</v>
      </c>
      <c r="F3975" s="2">
        <v>72</v>
      </c>
      <c r="G3975" s="2"/>
    </row>
    <row r="3976" spans="1:26" customHeight="1" ht="18" hidden="true" outlineLevel="3">
      <c r="A3976" s="2" t="s">
        <v>7453</v>
      </c>
      <c r="B3976" s="3" t="s">
        <v>7454</v>
      </c>
      <c r="C3976" s="2"/>
      <c r="D3976" s="2" t="s">
        <v>16</v>
      </c>
      <c r="E3976" s="4">
        <f>11.75*(1-Z1%)</f>
        <v>11.75</v>
      </c>
      <c r="F3976" s="2">
        <v>400</v>
      </c>
      <c r="G3976" s="2"/>
    </row>
    <row r="3977" spans="1:26" customHeight="1" ht="18" hidden="true" outlineLevel="3">
      <c r="A3977" s="2" t="s">
        <v>7455</v>
      </c>
      <c r="B3977" s="3" t="s">
        <v>7456</v>
      </c>
      <c r="C3977" s="2"/>
      <c r="D3977" s="2" t="s">
        <v>16</v>
      </c>
      <c r="E3977" s="4">
        <f>14.52*(1-Z1%)</f>
        <v>14.52</v>
      </c>
      <c r="F3977" s="2">
        <v>48</v>
      </c>
      <c r="G3977" s="2"/>
    </row>
    <row r="3978" spans="1:26" customHeight="1" ht="18" hidden="true" outlineLevel="3">
      <c r="A3978" s="2" t="s">
        <v>7457</v>
      </c>
      <c r="B3978" s="3" t="s">
        <v>7458</v>
      </c>
      <c r="C3978" s="2"/>
      <c r="D3978" s="2" t="s">
        <v>16</v>
      </c>
      <c r="E3978" s="4">
        <f>11.75*(1-Z1%)</f>
        <v>11.75</v>
      </c>
      <c r="F3978" s="2">
        <v>220</v>
      </c>
      <c r="G3978" s="2"/>
    </row>
    <row r="3979" spans="1:26" customHeight="1" ht="18" hidden="true" outlineLevel="3">
      <c r="A3979" s="2" t="s">
        <v>7459</v>
      </c>
      <c r="B3979" s="3" t="s">
        <v>7460</v>
      </c>
      <c r="C3979" s="2"/>
      <c r="D3979" s="2" t="s">
        <v>16</v>
      </c>
      <c r="E3979" s="4">
        <f>15.37*(1-Z1%)</f>
        <v>15.37</v>
      </c>
      <c r="F3979" s="2">
        <v>60</v>
      </c>
      <c r="G3979" s="2"/>
    </row>
    <row r="3980" spans="1:26" customHeight="1" ht="18" hidden="true" outlineLevel="3">
      <c r="A3980" s="2" t="s">
        <v>7461</v>
      </c>
      <c r="B3980" s="3" t="s">
        <v>7462</v>
      </c>
      <c r="C3980" s="2"/>
      <c r="D3980" s="2" t="s">
        <v>16</v>
      </c>
      <c r="E3980" s="4">
        <f>4.86*(1-Z1%)</f>
        <v>4.86</v>
      </c>
      <c r="F3980" s="2">
        <v>448</v>
      </c>
      <c r="G3980" s="2"/>
    </row>
    <row r="3981" spans="1:26" customHeight="1" ht="18" hidden="true" outlineLevel="3">
      <c r="A3981" s="2" t="s">
        <v>7463</v>
      </c>
      <c r="B3981" s="3" t="s">
        <v>7464</v>
      </c>
      <c r="C3981" s="2"/>
      <c r="D3981" s="2" t="s">
        <v>16</v>
      </c>
      <c r="E3981" s="4">
        <f>23.36*(1-Z1%)</f>
        <v>23.36</v>
      </c>
      <c r="F3981" s="2">
        <v>208</v>
      </c>
      <c r="G3981" s="2"/>
    </row>
    <row r="3982" spans="1:26" customHeight="1" ht="18" hidden="true" outlineLevel="3">
      <c r="A3982" s="2" t="s">
        <v>7465</v>
      </c>
      <c r="B3982" s="3" t="s">
        <v>7466</v>
      </c>
      <c r="C3982" s="2"/>
      <c r="D3982" s="2" t="s">
        <v>16</v>
      </c>
      <c r="E3982" s="4">
        <f>27.81*(1-Z1%)</f>
        <v>27.81</v>
      </c>
      <c r="F3982" s="2">
        <v>192</v>
      </c>
      <c r="G3982" s="2"/>
    </row>
    <row r="3983" spans="1:26" customHeight="1" ht="18" hidden="true" outlineLevel="3">
      <c r="A3983" s="2" t="s">
        <v>7467</v>
      </c>
      <c r="B3983" s="3" t="s">
        <v>7468</v>
      </c>
      <c r="C3983" s="2"/>
      <c r="D3983" s="2" t="s">
        <v>16</v>
      </c>
      <c r="E3983" s="4">
        <f>30.06*(1-Z1%)</f>
        <v>30.06</v>
      </c>
      <c r="F3983" s="2">
        <v>235</v>
      </c>
      <c r="G3983" s="2"/>
    </row>
    <row r="3984" spans="1:26" customHeight="1" ht="18" hidden="true" outlineLevel="3">
      <c r="A3984" s="2" t="s">
        <v>7469</v>
      </c>
      <c r="B3984" s="3" t="s">
        <v>7470</v>
      </c>
      <c r="C3984" s="2"/>
      <c r="D3984" s="2" t="s">
        <v>16</v>
      </c>
      <c r="E3984" s="4">
        <f>19.47*(1-Z1%)</f>
        <v>19.47</v>
      </c>
      <c r="F3984" s="2">
        <v>752</v>
      </c>
      <c r="G3984" s="2"/>
    </row>
    <row r="3985" spans="1:26" customHeight="1" ht="18" hidden="true" outlineLevel="3">
      <c r="A3985" s="2" t="s">
        <v>7471</v>
      </c>
      <c r="B3985" s="3" t="s">
        <v>7472</v>
      </c>
      <c r="C3985" s="2"/>
      <c r="D3985" s="2" t="s">
        <v>16</v>
      </c>
      <c r="E3985" s="4">
        <f>29.11*(1-Z1%)</f>
        <v>29.11</v>
      </c>
      <c r="F3985" s="2">
        <v>636</v>
      </c>
      <c r="G3985" s="2"/>
    </row>
    <row r="3986" spans="1:26" customHeight="1" ht="18" hidden="true" outlineLevel="3">
      <c r="A3986" s="2" t="s">
        <v>7473</v>
      </c>
      <c r="B3986" s="3" t="s">
        <v>7474</v>
      </c>
      <c r="C3986" s="2"/>
      <c r="D3986" s="2" t="s">
        <v>16</v>
      </c>
      <c r="E3986" s="4">
        <f>26.29*(1-Z1%)</f>
        <v>26.29</v>
      </c>
      <c r="F3986" s="2">
        <v>624</v>
      </c>
      <c r="G3986" s="2"/>
    </row>
    <row r="3987" spans="1:26" customHeight="1" ht="18" hidden="true" outlineLevel="3">
      <c r="A3987" s="2" t="s">
        <v>7475</v>
      </c>
      <c r="B3987" s="3" t="s">
        <v>7476</v>
      </c>
      <c r="C3987" s="2"/>
      <c r="D3987" s="2" t="s">
        <v>16</v>
      </c>
      <c r="E3987" s="4">
        <f>18.84*(1-Z1%)</f>
        <v>18.84</v>
      </c>
      <c r="F3987" s="2">
        <v>420</v>
      </c>
      <c r="G3987" s="2"/>
    </row>
    <row r="3988" spans="1:26" customHeight="1" ht="18" hidden="true" outlineLevel="3">
      <c r="A3988" s="2" t="s">
        <v>7477</v>
      </c>
      <c r="B3988" s="3" t="s">
        <v>7478</v>
      </c>
      <c r="C3988" s="2"/>
      <c r="D3988" s="2" t="s">
        <v>16</v>
      </c>
      <c r="E3988" s="4">
        <f>8.31*(1-Z1%)</f>
        <v>8.31</v>
      </c>
      <c r="F3988" s="2">
        <v>168</v>
      </c>
      <c r="G3988" s="2"/>
    </row>
    <row r="3989" spans="1:26" customHeight="1" ht="18" hidden="true" outlineLevel="3">
      <c r="A3989" s="2" t="s">
        <v>7479</v>
      </c>
      <c r="B3989" s="3" t="s">
        <v>7480</v>
      </c>
      <c r="C3989" s="2"/>
      <c r="D3989" s="2" t="s">
        <v>16</v>
      </c>
      <c r="E3989" s="4">
        <f>46.72*(1-Z1%)</f>
        <v>46.72</v>
      </c>
      <c r="F3989" s="2">
        <v>804</v>
      </c>
      <c r="G3989" s="2"/>
    </row>
    <row r="3990" spans="1:26" customHeight="1" ht="18" hidden="true" outlineLevel="3">
      <c r="A3990" s="2" t="s">
        <v>7481</v>
      </c>
      <c r="B3990" s="3" t="s">
        <v>7482</v>
      </c>
      <c r="C3990" s="2"/>
      <c r="D3990" s="2" t="s">
        <v>16</v>
      </c>
      <c r="E3990" s="4">
        <f>39.24*(1-Z1%)</f>
        <v>39.24</v>
      </c>
      <c r="F3990" s="2">
        <v>256</v>
      </c>
      <c r="G3990" s="2"/>
    </row>
    <row r="3991" spans="1:26" customHeight="1" ht="18" hidden="true" outlineLevel="3">
      <c r="A3991" s="2" t="s">
        <v>7483</v>
      </c>
      <c r="B3991" s="3" t="s">
        <v>7484</v>
      </c>
      <c r="C3991" s="2"/>
      <c r="D3991" s="2" t="s">
        <v>16</v>
      </c>
      <c r="E3991" s="4">
        <f>18.14*(1-Z1%)</f>
        <v>18.14</v>
      </c>
      <c r="F3991" s="2">
        <v>96</v>
      </c>
      <c r="G3991" s="2"/>
    </row>
    <row r="3992" spans="1:26" customHeight="1" ht="18" hidden="true" outlineLevel="3">
      <c r="A3992" s="2" t="s">
        <v>7485</v>
      </c>
      <c r="B3992" s="3" t="s">
        <v>7486</v>
      </c>
      <c r="C3992" s="2"/>
      <c r="D3992" s="2" t="s">
        <v>16</v>
      </c>
      <c r="E3992" s="4">
        <f>14.74*(1-Z1%)</f>
        <v>14.74</v>
      </c>
      <c r="F3992" s="2">
        <v>262</v>
      </c>
      <c r="G3992" s="2"/>
    </row>
    <row r="3993" spans="1:26" customHeight="1" ht="18" hidden="true" outlineLevel="3">
      <c r="A3993" s="2" t="s">
        <v>7487</v>
      </c>
      <c r="B3993" s="3" t="s">
        <v>7488</v>
      </c>
      <c r="C3993" s="2"/>
      <c r="D3993" s="2" t="s">
        <v>16</v>
      </c>
      <c r="E3993" s="4">
        <f>12.20*(1-Z1%)</f>
        <v>12.2</v>
      </c>
      <c r="F3993" s="2">
        <v>20</v>
      </c>
      <c r="G3993" s="2"/>
    </row>
    <row r="3994" spans="1:26" customHeight="1" ht="18" hidden="true" outlineLevel="3">
      <c r="A3994" s="2" t="s">
        <v>7489</v>
      </c>
      <c r="B3994" s="3" t="s">
        <v>7490</v>
      </c>
      <c r="C3994" s="2"/>
      <c r="D3994" s="2" t="s">
        <v>16</v>
      </c>
      <c r="E3994" s="4">
        <f>13.32*(1-Z1%)</f>
        <v>13.32</v>
      </c>
      <c r="F3994" s="2">
        <v>44</v>
      </c>
      <c r="G3994" s="2"/>
    </row>
    <row r="3995" spans="1:26" customHeight="1" ht="18" hidden="true" outlineLevel="3">
      <c r="A3995" s="2" t="s">
        <v>7491</v>
      </c>
      <c r="B3995" s="3" t="s">
        <v>7492</v>
      </c>
      <c r="C3995" s="2"/>
      <c r="D3995" s="2" t="s">
        <v>16</v>
      </c>
      <c r="E3995" s="4">
        <f>11.62*(1-Z1%)</f>
        <v>11.62</v>
      </c>
      <c r="F3995" s="2">
        <v>100</v>
      </c>
      <c r="G3995" s="2"/>
    </row>
    <row r="3996" spans="1:26" customHeight="1" ht="18" hidden="true" outlineLevel="3">
      <c r="A3996" s="2" t="s">
        <v>7493</v>
      </c>
      <c r="B3996" s="3" t="s">
        <v>7494</v>
      </c>
      <c r="C3996" s="2"/>
      <c r="D3996" s="2" t="s">
        <v>16</v>
      </c>
      <c r="E3996" s="4">
        <f>16.87*(1-Z1%)</f>
        <v>16.87</v>
      </c>
      <c r="F3996" s="2">
        <v>268</v>
      </c>
      <c r="G3996" s="2"/>
    </row>
    <row r="3997" spans="1:26" customHeight="1" ht="18" hidden="true" outlineLevel="3">
      <c r="A3997" s="2" t="s">
        <v>7495</v>
      </c>
      <c r="B3997" s="3" t="s">
        <v>7496</v>
      </c>
      <c r="C3997" s="2"/>
      <c r="D3997" s="2" t="s">
        <v>16</v>
      </c>
      <c r="E3997" s="4">
        <f>16.67*(1-Z1%)</f>
        <v>16.67</v>
      </c>
      <c r="F3997" s="2">
        <v>408</v>
      </c>
      <c r="G3997" s="2"/>
    </row>
    <row r="3998" spans="1:26" customHeight="1" ht="18" hidden="true" outlineLevel="3">
      <c r="A3998" s="2" t="s">
        <v>7497</v>
      </c>
      <c r="B3998" s="3" t="s">
        <v>7498</v>
      </c>
      <c r="C3998" s="2"/>
      <c r="D3998" s="2" t="s">
        <v>16</v>
      </c>
      <c r="E3998" s="4">
        <f>12.20*(1-Z1%)</f>
        <v>12.2</v>
      </c>
      <c r="F3998" s="2">
        <v>212</v>
      </c>
      <c r="G3998" s="2"/>
    </row>
    <row r="3999" spans="1:26" customHeight="1" ht="18" hidden="true" outlineLevel="3">
      <c r="A3999" s="2" t="s">
        <v>7499</v>
      </c>
      <c r="B3999" s="3" t="s">
        <v>7500</v>
      </c>
      <c r="C3999" s="2"/>
      <c r="D3999" s="2" t="s">
        <v>16</v>
      </c>
      <c r="E3999" s="4">
        <f>4.64*(1-Z1%)</f>
        <v>4.64</v>
      </c>
      <c r="F3999" s="2">
        <v>904</v>
      </c>
      <c r="G3999" s="2"/>
    </row>
    <row r="4000" spans="1:26" customHeight="1" ht="18" hidden="true" outlineLevel="3">
      <c r="A4000" s="2" t="s">
        <v>7501</v>
      </c>
      <c r="B4000" s="3" t="s">
        <v>7502</v>
      </c>
      <c r="C4000" s="2"/>
      <c r="D4000" s="2" t="s">
        <v>16</v>
      </c>
      <c r="E4000" s="4">
        <f>18.66*(1-Z1%)</f>
        <v>18.66</v>
      </c>
      <c r="F4000" s="2">
        <v>164</v>
      </c>
      <c r="G4000" s="2"/>
    </row>
    <row r="4001" spans="1:26" customHeight="1" ht="18" hidden="true" outlineLevel="3">
      <c r="A4001" s="2" t="s">
        <v>7503</v>
      </c>
      <c r="B4001" s="3" t="s">
        <v>7504</v>
      </c>
      <c r="C4001" s="2"/>
      <c r="D4001" s="2" t="s">
        <v>16</v>
      </c>
      <c r="E4001" s="4">
        <f>17.74*(1-Z1%)</f>
        <v>17.74</v>
      </c>
      <c r="F4001" s="2">
        <v>180</v>
      </c>
      <c r="G4001" s="2"/>
    </row>
    <row r="4002" spans="1:26" customHeight="1" ht="18" hidden="true" outlineLevel="3">
      <c r="A4002" s="2" t="s">
        <v>7505</v>
      </c>
      <c r="B4002" s="3" t="s">
        <v>7506</v>
      </c>
      <c r="C4002" s="2"/>
      <c r="D4002" s="2" t="s">
        <v>16</v>
      </c>
      <c r="E4002" s="4">
        <f>11.38*(1-Z1%)</f>
        <v>11.38</v>
      </c>
      <c r="F4002" s="2">
        <v>1360</v>
      </c>
      <c r="G4002" s="2"/>
    </row>
    <row r="4003" spans="1:26" customHeight="1" ht="18" hidden="true" outlineLevel="3">
      <c r="A4003" s="2" t="s">
        <v>7507</v>
      </c>
      <c r="B4003" s="3" t="s">
        <v>7508</v>
      </c>
      <c r="C4003" s="2"/>
      <c r="D4003" s="2" t="s">
        <v>16</v>
      </c>
      <c r="E4003" s="4">
        <f>12.56*(1-Z1%)</f>
        <v>12.56</v>
      </c>
      <c r="F4003" s="2">
        <v>175</v>
      </c>
      <c r="G4003" s="2"/>
    </row>
    <row r="4004" spans="1:26" customHeight="1" ht="18" hidden="true" outlineLevel="3">
      <c r="A4004" s="2" t="s">
        <v>7509</v>
      </c>
      <c r="B4004" s="3" t="s">
        <v>7510</v>
      </c>
      <c r="C4004" s="2"/>
      <c r="D4004" s="2" t="s">
        <v>16</v>
      </c>
      <c r="E4004" s="4">
        <f>10.25*(1-Z1%)</f>
        <v>10.25</v>
      </c>
      <c r="F4004" s="2">
        <v>1880</v>
      </c>
      <c r="G4004" s="2"/>
    </row>
    <row r="4005" spans="1:26" customHeight="1" ht="18" hidden="true" outlineLevel="3">
      <c r="A4005" s="2" t="s">
        <v>7511</v>
      </c>
      <c r="B4005" s="3" t="s">
        <v>7512</v>
      </c>
      <c r="C4005" s="2"/>
      <c r="D4005" s="2" t="s">
        <v>16</v>
      </c>
      <c r="E4005" s="4">
        <f>4.32*(1-Z1%)</f>
        <v>4.32</v>
      </c>
      <c r="F4005" s="2">
        <v>1260</v>
      </c>
      <c r="G4005" s="2"/>
    </row>
    <row r="4006" spans="1:26" customHeight="1" ht="18" hidden="true" outlineLevel="3">
      <c r="A4006" s="2" t="s">
        <v>7513</v>
      </c>
      <c r="B4006" s="3" t="s">
        <v>7514</v>
      </c>
      <c r="C4006" s="2"/>
      <c r="D4006" s="2" t="s">
        <v>16</v>
      </c>
      <c r="E4006" s="4">
        <f>4.27*(1-Z1%)</f>
        <v>4.27</v>
      </c>
      <c r="F4006" s="2">
        <v>20</v>
      </c>
      <c r="G4006" s="2"/>
    </row>
    <row r="4007" spans="1:26" customHeight="1" ht="18" hidden="true" outlineLevel="3">
      <c r="A4007" s="2" t="s">
        <v>7515</v>
      </c>
      <c r="B4007" s="3" t="s">
        <v>7516</v>
      </c>
      <c r="C4007" s="2"/>
      <c r="D4007" s="2" t="s">
        <v>16</v>
      </c>
      <c r="E4007" s="4">
        <f>34.32*(1-Z1%)</f>
        <v>34.32</v>
      </c>
      <c r="F4007" s="2">
        <v>610</v>
      </c>
      <c r="G4007" s="2"/>
    </row>
    <row r="4008" spans="1:26" customHeight="1" ht="18" hidden="true" outlineLevel="3">
      <c r="A4008" s="2" t="s">
        <v>7517</v>
      </c>
      <c r="B4008" s="3" t="s">
        <v>7518</v>
      </c>
      <c r="C4008" s="2"/>
      <c r="D4008" s="2" t="s">
        <v>16</v>
      </c>
      <c r="E4008" s="4">
        <f>35.77*(1-Z1%)</f>
        <v>35.77</v>
      </c>
      <c r="F4008" s="2">
        <v>384</v>
      </c>
      <c r="G4008" s="2"/>
    </row>
    <row r="4009" spans="1:26" customHeight="1" ht="18" hidden="true" outlineLevel="3">
      <c r="A4009" s="2" t="s">
        <v>7519</v>
      </c>
      <c r="B4009" s="3" t="s">
        <v>7520</v>
      </c>
      <c r="C4009" s="2"/>
      <c r="D4009" s="2" t="s">
        <v>16</v>
      </c>
      <c r="E4009" s="4">
        <f>33.48*(1-Z1%)</f>
        <v>33.48</v>
      </c>
      <c r="F4009" s="2">
        <v>420</v>
      </c>
      <c r="G4009" s="2"/>
    </row>
    <row r="4010" spans="1:26" customHeight="1" ht="18" hidden="true" outlineLevel="3">
      <c r="A4010" s="2" t="s">
        <v>7521</v>
      </c>
      <c r="B4010" s="3" t="s">
        <v>7522</v>
      </c>
      <c r="C4010" s="2"/>
      <c r="D4010" s="2" t="s">
        <v>16</v>
      </c>
      <c r="E4010" s="4">
        <f>38.43*(1-Z1%)</f>
        <v>38.43</v>
      </c>
      <c r="F4010" s="2">
        <v>336</v>
      </c>
      <c r="G4010" s="2"/>
    </row>
    <row r="4011" spans="1:26" customHeight="1" ht="35" hidden="true" outlineLevel="3">
      <c r="A4011" s="5" t="s">
        <v>7523</v>
      </c>
      <c r="B4011" s="5"/>
      <c r="C4011" s="5"/>
      <c r="D4011" s="5"/>
      <c r="E4011" s="5"/>
      <c r="F4011" s="5"/>
      <c r="G4011" s="5"/>
    </row>
    <row r="4012" spans="1:26" customHeight="1" ht="36" hidden="true" outlineLevel="3">
      <c r="A4012" s="2" t="s">
        <v>7524</v>
      </c>
      <c r="B4012" s="3" t="s">
        <v>7525</v>
      </c>
      <c r="C4012" s="2"/>
      <c r="D4012" s="2" t="s">
        <v>16</v>
      </c>
      <c r="E4012" s="4">
        <f>21.06*(1-Z1%)</f>
        <v>21.06</v>
      </c>
      <c r="F4012" s="2">
        <v>576</v>
      </c>
      <c r="G4012" s="2"/>
    </row>
    <row r="4013" spans="1:26" customHeight="1" ht="18" hidden="true" outlineLevel="3">
      <c r="A4013" s="2" t="s">
        <v>7526</v>
      </c>
      <c r="B4013" s="3" t="s">
        <v>7527</v>
      </c>
      <c r="C4013" s="2"/>
      <c r="D4013" s="2" t="s">
        <v>16</v>
      </c>
      <c r="E4013" s="4">
        <f>18.22*(1-Z1%)</f>
        <v>18.22</v>
      </c>
      <c r="F4013" s="2">
        <v>820</v>
      </c>
      <c r="G4013" s="2"/>
    </row>
    <row r="4014" spans="1:26" customHeight="1" ht="18" hidden="true" outlineLevel="3">
      <c r="A4014" s="2" t="s">
        <v>7528</v>
      </c>
      <c r="B4014" s="3" t="s">
        <v>7529</v>
      </c>
      <c r="C4014" s="2"/>
      <c r="D4014" s="2" t="s">
        <v>16</v>
      </c>
      <c r="E4014" s="4">
        <f>7.75*(1-Z1%)</f>
        <v>7.75</v>
      </c>
      <c r="F4014" s="2">
        <v>240</v>
      </c>
      <c r="G4014" s="2"/>
    </row>
    <row r="4015" spans="1:26" customHeight="1" ht="18" hidden="true" outlineLevel="3">
      <c r="A4015" s="2" t="s">
        <v>7530</v>
      </c>
      <c r="B4015" s="3" t="s">
        <v>7531</v>
      </c>
      <c r="C4015" s="2"/>
      <c r="D4015" s="2" t="s">
        <v>16</v>
      </c>
      <c r="E4015" s="4">
        <f>45.49*(1-Z1%)</f>
        <v>45.49</v>
      </c>
      <c r="F4015" s="2">
        <v>276</v>
      </c>
      <c r="G4015" s="2"/>
    </row>
    <row r="4016" spans="1:26" customHeight="1" ht="18" hidden="true" outlineLevel="3">
      <c r="A4016" s="2" t="s">
        <v>7532</v>
      </c>
      <c r="B4016" s="3" t="s">
        <v>7533</v>
      </c>
      <c r="C4016" s="2"/>
      <c r="D4016" s="2" t="s">
        <v>16</v>
      </c>
      <c r="E4016" s="4">
        <f>50.24*(1-Z1%)</f>
        <v>50.24</v>
      </c>
      <c r="F4016" s="2">
        <v>16</v>
      </c>
      <c r="G4016" s="2"/>
    </row>
    <row r="4017" spans="1:26" customHeight="1" ht="18" hidden="true" outlineLevel="3">
      <c r="A4017" s="2" t="s">
        <v>7534</v>
      </c>
      <c r="B4017" s="3" t="s">
        <v>7535</v>
      </c>
      <c r="C4017" s="2"/>
      <c r="D4017" s="2" t="s">
        <v>16</v>
      </c>
      <c r="E4017" s="4">
        <f>43.12*(1-Z1%)</f>
        <v>43.12</v>
      </c>
      <c r="F4017" s="2">
        <v>438</v>
      </c>
      <c r="G4017" s="2"/>
    </row>
    <row r="4018" spans="1:26" customHeight="1" ht="18" hidden="true" outlineLevel="3">
      <c r="A4018" s="2" t="s">
        <v>7536</v>
      </c>
      <c r="B4018" s="3" t="s">
        <v>7537</v>
      </c>
      <c r="C4018" s="2"/>
      <c r="D4018" s="2" t="s">
        <v>16</v>
      </c>
      <c r="E4018" s="4">
        <f>41.94*(1-Z1%)</f>
        <v>41.94</v>
      </c>
      <c r="F4018" s="2">
        <v>320</v>
      </c>
      <c r="G4018" s="2"/>
    </row>
    <row r="4019" spans="1:26" customHeight="1" ht="18" hidden="true" outlineLevel="3">
      <c r="A4019" s="2" t="s">
        <v>7538</v>
      </c>
      <c r="B4019" s="3" t="s">
        <v>7539</v>
      </c>
      <c r="C4019" s="2"/>
      <c r="D4019" s="2" t="s">
        <v>16</v>
      </c>
      <c r="E4019" s="4">
        <f>40.50*(1-Z1%)</f>
        <v>40.5</v>
      </c>
      <c r="F4019" s="2">
        <v>32</v>
      </c>
      <c r="G4019" s="2"/>
    </row>
    <row r="4020" spans="1:26" customHeight="1" ht="18" hidden="true" outlineLevel="3">
      <c r="A4020" s="2" t="s">
        <v>7540</v>
      </c>
      <c r="B4020" s="3" t="s">
        <v>7541</v>
      </c>
      <c r="C4020" s="2"/>
      <c r="D4020" s="2" t="s">
        <v>16</v>
      </c>
      <c r="E4020" s="4">
        <f>11.75*(1-Z1%)</f>
        <v>11.75</v>
      </c>
      <c r="F4020" s="2">
        <v>180</v>
      </c>
      <c r="G4020" s="2"/>
    </row>
    <row r="4021" spans="1:26" customHeight="1" ht="18" hidden="true" outlineLevel="3">
      <c r="A4021" s="2" t="s">
        <v>7542</v>
      </c>
      <c r="B4021" s="3" t="s">
        <v>7543</v>
      </c>
      <c r="C4021" s="2"/>
      <c r="D4021" s="2" t="s">
        <v>16</v>
      </c>
      <c r="E4021" s="4">
        <f>4.86*(1-Z1%)</f>
        <v>4.86</v>
      </c>
      <c r="F4021" s="2">
        <v>420</v>
      </c>
      <c r="G4021" s="2"/>
    </row>
    <row r="4022" spans="1:26" customHeight="1" ht="18" hidden="true" outlineLevel="3">
      <c r="A4022" s="2" t="s">
        <v>7544</v>
      </c>
      <c r="B4022" s="3" t="s">
        <v>7545</v>
      </c>
      <c r="C4022" s="2"/>
      <c r="D4022" s="2" t="s">
        <v>16</v>
      </c>
      <c r="E4022" s="4">
        <f>27.81*(1-Z1%)</f>
        <v>27.81</v>
      </c>
      <c r="F4022" s="2">
        <v>200</v>
      </c>
      <c r="G4022" s="2"/>
    </row>
    <row r="4023" spans="1:26" customHeight="1" ht="18" hidden="true" outlineLevel="3">
      <c r="A4023" s="2" t="s">
        <v>7546</v>
      </c>
      <c r="B4023" s="3" t="s">
        <v>7547</v>
      </c>
      <c r="C4023" s="2"/>
      <c r="D4023" s="2" t="s">
        <v>16</v>
      </c>
      <c r="E4023" s="4">
        <f>30.06*(1-Z1%)</f>
        <v>30.06</v>
      </c>
      <c r="F4023" s="2">
        <v>135</v>
      </c>
      <c r="G4023" s="2"/>
    </row>
    <row r="4024" spans="1:26" customHeight="1" ht="18" hidden="true" outlineLevel="3">
      <c r="A4024" s="2" t="s">
        <v>7548</v>
      </c>
      <c r="B4024" s="3" t="s">
        <v>7549</v>
      </c>
      <c r="C4024" s="2"/>
      <c r="D4024" s="2" t="s">
        <v>16</v>
      </c>
      <c r="E4024" s="4">
        <f>19.47*(1-Z1%)</f>
        <v>19.47</v>
      </c>
      <c r="F4024" s="2">
        <v>864</v>
      </c>
      <c r="G4024" s="2"/>
    </row>
    <row r="4025" spans="1:26" customHeight="1" ht="18" hidden="true" outlineLevel="3">
      <c r="A4025" s="2" t="s">
        <v>7550</v>
      </c>
      <c r="B4025" s="3" t="s">
        <v>7551</v>
      </c>
      <c r="C4025" s="2"/>
      <c r="D4025" s="2" t="s">
        <v>16</v>
      </c>
      <c r="E4025" s="4">
        <f>23.95*(1-Z1%)</f>
        <v>23.95</v>
      </c>
      <c r="F4025" s="2">
        <v>256</v>
      </c>
      <c r="G4025" s="2"/>
    </row>
    <row r="4026" spans="1:26" customHeight="1" ht="18" hidden="true" outlineLevel="3">
      <c r="A4026" s="2" t="s">
        <v>7552</v>
      </c>
      <c r="B4026" s="3" t="s">
        <v>7553</v>
      </c>
      <c r="C4026" s="2"/>
      <c r="D4026" s="2" t="s">
        <v>16</v>
      </c>
      <c r="E4026" s="4">
        <f>33.48*(1-Z1%)</f>
        <v>33.48</v>
      </c>
      <c r="F4026" s="2">
        <v>248</v>
      </c>
      <c r="G4026" s="2"/>
    </row>
    <row r="4027" spans="1:26" customHeight="1" ht="18" hidden="true" outlineLevel="3">
      <c r="A4027" s="2" t="s">
        <v>7554</v>
      </c>
      <c r="B4027" s="3" t="s">
        <v>7555</v>
      </c>
      <c r="C4027" s="2"/>
      <c r="D4027" s="2" t="s">
        <v>16</v>
      </c>
      <c r="E4027" s="4">
        <f>26.29*(1-Z1%)</f>
        <v>26.29</v>
      </c>
      <c r="F4027" s="2">
        <v>184</v>
      </c>
      <c r="G4027" s="2"/>
    </row>
    <row r="4028" spans="1:26" customHeight="1" ht="18" hidden="true" outlineLevel="3">
      <c r="A4028" s="2" t="s">
        <v>7556</v>
      </c>
      <c r="B4028" s="3" t="s">
        <v>7557</v>
      </c>
      <c r="C4028" s="2"/>
      <c r="D4028" s="2" t="s">
        <v>16</v>
      </c>
      <c r="E4028" s="4">
        <f>21.47*(1-Z1%)</f>
        <v>21.47</v>
      </c>
      <c r="F4028" s="2">
        <v>72</v>
      </c>
      <c r="G4028" s="2"/>
    </row>
    <row r="4029" spans="1:26" customHeight="1" ht="18" hidden="true" outlineLevel="3">
      <c r="A4029" s="2" t="s">
        <v>7558</v>
      </c>
      <c r="B4029" s="3" t="s">
        <v>7559</v>
      </c>
      <c r="C4029" s="2"/>
      <c r="D4029" s="2" t="s">
        <v>16</v>
      </c>
      <c r="E4029" s="4">
        <f>21.27*(1-Z1%)</f>
        <v>21.27</v>
      </c>
      <c r="F4029" s="2">
        <v>184</v>
      </c>
      <c r="G4029" s="2"/>
    </row>
    <row r="4030" spans="1:26" customHeight="1" ht="18" hidden="true" outlineLevel="3">
      <c r="A4030" s="2" t="s">
        <v>7560</v>
      </c>
      <c r="B4030" s="3" t="s">
        <v>7561</v>
      </c>
      <c r="C4030" s="2"/>
      <c r="D4030" s="2" t="s">
        <v>16</v>
      </c>
      <c r="E4030" s="4">
        <f>18.28*(1-Z1%)</f>
        <v>18.28</v>
      </c>
      <c r="F4030" s="2">
        <v>444</v>
      </c>
      <c r="G4030" s="2"/>
    </row>
    <row r="4031" spans="1:26" customHeight="1" ht="18" hidden="true" outlineLevel="3">
      <c r="A4031" s="2" t="s">
        <v>7562</v>
      </c>
      <c r="B4031" s="3" t="s">
        <v>7563</v>
      </c>
      <c r="C4031" s="2"/>
      <c r="D4031" s="2" t="s">
        <v>16</v>
      </c>
      <c r="E4031" s="4">
        <f>8.31*(1-Z1%)</f>
        <v>8.31</v>
      </c>
      <c r="F4031" s="2">
        <v>211</v>
      </c>
      <c r="G4031" s="2"/>
    </row>
    <row r="4032" spans="1:26" customHeight="1" ht="18" hidden="true" outlineLevel="3">
      <c r="A4032" s="2" t="s">
        <v>7564</v>
      </c>
      <c r="B4032" s="3" t="s">
        <v>7565</v>
      </c>
      <c r="C4032" s="2"/>
      <c r="D4032" s="2" t="s">
        <v>16</v>
      </c>
      <c r="E4032" s="4">
        <f>46.72*(1-Z1%)</f>
        <v>46.72</v>
      </c>
      <c r="F4032" s="2">
        <v>756</v>
      </c>
      <c r="G4032" s="2"/>
    </row>
    <row r="4033" spans="1:26" customHeight="1" ht="18" hidden="true" outlineLevel="3">
      <c r="A4033" s="2" t="s">
        <v>7566</v>
      </c>
      <c r="B4033" s="3" t="s">
        <v>7567</v>
      </c>
      <c r="C4033" s="2"/>
      <c r="D4033" s="2" t="s">
        <v>16</v>
      </c>
      <c r="E4033" s="4">
        <f>33.25*(1-Z1%)</f>
        <v>33.25</v>
      </c>
      <c r="F4033" s="2">
        <v>172</v>
      </c>
      <c r="G4033" s="2"/>
    </row>
    <row r="4034" spans="1:26" customHeight="1" ht="36" hidden="true" outlineLevel="3">
      <c r="A4034" s="2" t="s">
        <v>7568</v>
      </c>
      <c r="B4034" s="3" t="s">
        <v>7569</v>
      </c>
      <c r="C4034" s="2"/>
      <c r="D4034" s="2" t="s">
        <v>16</v>
      </c>
      <c r="E4034" s="4">
        <f>175.39*(1-Z1%)</f>
        <v>175.39</v>
      </c>
      <c r="F4034" s="2">
        <v>22</v>
      </c>
      <c r="G4034" s="2"/>
    </row>
    <row r="4035" spans="1:26" customHeight="1" ht="18" hidden="true" outlineLevel="3">
      <c r="A4035" s="2" t="s">
        <v>7570</v>
      </c>
      <c r="B4035" s="3" t="s">
        <v>7571</v>
      </c>
      <c r="C4035" s="2"/>
      <c r="D4035" s="2" t="s">
        <v>16</v>
      </c>
      <c r="E4035" s="4">
        <f>22.12*(1-Z1%)</f>
        <v>22.12</v>
      </c>
      <c r="F4035" s="2">
        <v>12</v>
      </c>
      <c r="G4035" s="2"/>
    </row>
    <row r="4036" spans="1:26" customHeight="1" ht="18" hidden="true" outlineLevel="3">
      <c r="A4036" s="2" t="s">
        <v>7572</v>
      </c>
      <c r="B4036" s="3" t="s">
        <v>7573</v>
      </c>
      <c r="C4036" s="2"/>
      <c r="D4036" s="2" t="s">
        <v>16</v>
      </c>
      <c r="E4036" s="4">
        <f>16.63*(1-Z1%)</f>
        <v>16.63</v>
      </c>
      <c r="F4036" s="2">
        <v>72</v>
      </c>
      <c r="G4036" s="2"/>
    </row>
    <row r="4037" spans="1:26" customHeight="1" ht="18" hidden="true" outlineLevel="3">
      <c r="A4037" s="2" t="s">
        <v>7574</v>
      </c>
      <c r="B4037" s="3" t="s">
        <v>7575</v>
      </c>
      <c r="C4037" s="2"/>
      <c r="D4037" s="2" t="s">
        <v>16</v>
      </c>
      <c r="E4037" s="4">
        <f>15.21*(1-Z1%)</f>
        <v>15.21</v>
      </c>
      <c r="F4037" s="2">
        <v>220</v>
      </c>
      <c r="G4037" s="2"/>
    </row>
    <row r="4038" spans="1:26" customHeight="1" ht="18" hidden="true" outlineLevel="3">
      <c r="A4038" s="2" t="s">
        <v>7576</v>
      </c>
      <c r="B4038" s="3" t="s">
        <v>7577</v>
      </c>
      <c r="C4038" s="2"/>
      <c r="D4038" s="2" t="s">
        <v>16</v>
      </c>
      <c r="E4038" s="4">
        <f>20.25*(1-Z1%)</f>
        <v>20.25</v>
      </c>
      <c r="F4038" s="2">
        <v>220</v>
      </c>
      <c r="G4038" s="2"/>
    </row>
    <row r="4039" spans="1:26" customHeight="1" ht="18" hidden="true" outlineLevel="3">
      <c r="A4039" s="2" t="s">
        <v>7578</v>
      </c>
      <c r="B4039" s="3" t="s">
        <v>7579</v>
      </c>
      <c r="C4039" s="2"/>
      <c r="D4039" s="2" t="s">
        <v>16</v>
      </c>
      <c r="E4039" s="4">
        <f>20.14*(1-Z1%)</f>
        <v>20.14</v>
      </c>
      <c r="F4039" s="2">
        <v>632</v>
      </c>
      <c r="G4039" s="2"/>
    </row>
    <row r="4040" spans="1:26" customHeight="1" ht="18" hidden="true" outlineLevel="3">
      <c r="A4040" s="2" t="s">
        <v>7580</v>
      </c>
      <c r="B4040" s="3" t="s">
        <v>7581</v>
      </c>
      <c r="C4040" s="2"/>
      <c r="D4040" s="2" t="s">
        <v>16</v>
      </c>
      <c r="E4040" s="4">
        <f>5.58*(1-Z1%)</f>
        <v>5.58</v>
      </c>
      <c r="F4040" s="2">
        <v>448</v>
      </c>
      <c r="G4040" s="2"/>
    </row>
    <row r="4041" spans="1:26" customHeight="1" ht="18" hidden="true" outlineLevel="3">
      <c r="A4041" s="2" t="s">
        <v>7582</v>
      </c>
      <c r="B4041" s="3" t="s">
        <v>7583</v>
      </c>
      <c r="C4041" s="2"/>
      <c r="D4041" s="2" t="s">
        <v>16</v>
      </c>
      <c r="E4041" s="4">
        <f>18.59*(1-Z1%)</f>
        <v>18.59</v>
      </c>
      <c r="F4041" s="2">
        <v>152</v>
      </c>
      <c r="G4041" s="2"/>
    </row>
    <row r="4042" spans="1:26" customHeight="1" ht="18" hidden="true" outlineLevel="3">
      <c r="A4042" s="2" t="s">
        <v>7584</v>
      </c>
      <c r="B4042" s="3" t="s">
        <v>7585</v>
      </c>
      <c r="C4042" s="2"/>
      <c r="D4042" s="2" t="s">
        <v>16</v>
      </c>
      <c r="E4042" s="4">
        <f>17.74*(1-Z1%)</f>
        <v>17.74</v>
      </c>
      <c r="F4042" s="2">
        <v>232</v>
      </c>
      <c r="G4042" s="2"/>
    </row>
    <row r="4043" spans="1:26" customHeight="1" ht="18" hidden="true" outlineLevel="3">
      <c r="A4043" s="2" t="s">
        <v>7586</v>
      </c>
      <c r="B4043" s="3" t="s">
        <v>7587</v>
      </c>
      <c r="C4043" s="2"/>
      <c r="D4043" s="2" t="s">
        <v>16</v>
      </c>
      <c r="E4043" s="4">
        <f>13.63*(1-Z1%)</f>
        <v>13.63</v>
      </c>
      <c r="F4043" s="2">
        <v>280</v>
      </c>
      <c r="G4043" s="2"/>
    </row>
    <row r="4044" spans="1:26" customHeight="1" ht="18" hidden="true" outlineLevel="3">
      <c r="A4044" s="2" t="s">
        <v>7588</v>
      </c>
      <c r="B4044" s="3" t="s">
        <v>7589</v>
      </c>
      <c r="C4044" s="2"/>
      <c r="D4044" s="2" t="s">
        <v>16</v>
      </c>
      <c r="E4044" s="4">
        <f>13.63*(1-Z1%)</f>
        <v>13.63</v>
      </c>
      <c r="F4044" s="2">
        <v>4</v>
      </c>
      <c r="G4044" s="2"/>
    </row>
    <row r="4045" spans="1:26" customHeight="1" ht="18" hidden="true" outlineLevel="3">
      <c r="A4045" s="2" t="s">
        <v>7590</v>
      </c>
      <c r="B4045" s="3" t="s">
        <v>7591</v>
      </c>
      <c r="C4045" s="2"/>
      <c r="D4045" s="2" t="s">
        <v>16</v>
      </c>
      <c r="E4045" s="4">
        <f>14.81*(1-Z1%)</f>
        <v>14.81</v>
      </c>
      <c r="F4045" s="2">
        <v>135</v>
      </c>
      <c r="G4045" s="2"/>
    </row>
    <row r="4046" spans="1:26" customHeight="1" ht="18" hidden="true" outlineLevel="3">
      <c r="A4046" s="2" t="s">
        <v>7592</v>
      </c>
      <c r="B4046" s="3" t="s">
        <v>7593</v>
      </c>
      <c r="C4046" s="2"/>
      <c r="D4046" s="2" t="s">
        <v>16</v>
      </c>
      <c r="E4046" s="4">
        <f>13.03*(1-Z1%)</f>
        <v>13.03</v>
      </c>
      <c r="F4046" s="2">
        <v>120</v>
      </c>
      <c r="G4046" s="2"/>
    </row>
    <row r="4047" spans="1:26" customHeight="1" ht="18" hidden="true" outlineLevel="3">
      <c r="A4047" s="2" t="s">
        <v>7594</v>
      </c>
      <c r="B4047" s="3" t="s">
        <v>7595</v>
      </c>
      <c r="C4047" s="2"/>
      <c r="D4047" s="2" t="s">
        <v>16</v>
      </c>
      <c r="E4047" s="4">
        <f>5.34*(1-Z1%)</f>
        <v>5.34</v>
      </c>
      <c r="F4047" s="2">
        <v>1064</v>
      </c>
      <c r="G4047" s="2"/>
    </row>
    <row r="4048" spans="1:26" customHeight="1" ht="18" hidden="true" outlineLevel="3">
      <c r="A4048" s="2" t="s">
        <v>7596</v>
      </c>
      <c r="B4048" s="3" t="s">
        <v>7597</v>
      </c>
      <c r="C4048" s="2"/>
      <c r="D4048" s="2" t="s">
        <v>16</v>
      </c>
      <c r="E4048" s="4">
        <f>5.57*(1-Z1%)</f>
        <v>5.57</v>
      </c>
      <c r="F4048" s="2">
        <v>140</v>
      </c>
      <c r="G4048" s="2"/>
    </row>
    <row r="4049" spans="1:26" customHeight="1" ht="18" hidden="true" outlineLevel="3">
      <c r="A4049" s="2" t="s">
        <v>7598</v>
      </c>
      <c r="B4049" s="3" t="s">
        <v>7599</v>
      </c>
      <c r="C4049" s="2"/>
      <c r="D4049" s="2" t="s">
        <v>16</v>
      </c>
      <c r="E4049" s="4">
        <f>33.19*(1-Z1%)</f>
        <v>33.19</v>
      </c>
      <c r="F4049" s="2">
        <v>830</v>
      </c>
      <c r="G4049" s="2"/>
    </row>
    <row r="4050" spans="1:26" customHeight="1" ht="18" hidden="true" outlineLevel="3">
      <c r="A4050" s="2" t="s">
        <v>7600</v>
      </c>
      <c r="B4050" s="3" t="s">
        <v>7601</v>
      </c>
      <c r="C4050" s="2"/>
      <c r="D4050" s="2" t="s">
        <v>16</v>
      </c>
      <c r="E4050" s="4">
        <f>35.77*(1-Z1%)</f>
        <v>35.77</v>
      </c>
      <c r="F4050" s="2">
        <v>256</v>
      </c>
      <c r="G4050" s="2"/>
    </row>
    <row r="4051" spans="1:26" customHeight="1" ht="18" hidden="true" outlineLevel="3">
      <c r="A4051" s="2" t="s">
        <v>7602</v>
      </c>
      <c r="B4051" s="3" t="s">
        <v>7603</v>
      </c>
      <c r="C4051" s="2"/>
      <c r="D4051" s="2" t="s">
        <v>16</v>
      </c>
      <c r="E4051" s="4">
        <f>33.48*(1-Z1%)</f>
        <v>33.48</v>
      </c>
      <c r="F4051" s="2">
        <v>760</v>
      </c>
      <c r="G4051" s="2"/>
    </row>
    <row r="4052" spans="1:26" customHeight="1" ht="35" hidden="true" outlineLevel="3">
      <c r="A4052" s="5" t="s">
        <v>7604</v>
      </c>
      <c r="B4052" s="5"/>
      <c r="C4052" s="5"/>
      <c r="D4052" s="5"/>
      <c r="E4052" s="5"/>
      <c r="F4052" s="5"/>
      <c r="G4052" s="5"/>
    </row>
    <row r="4053" spans="1:26" customHeight="1" ht="36" hidden="true" outlineLevel="3">
      <c r="A4053" s="2" t="s">
        <v>7605</v>
      </c>
      <c r="B4053" s="3" t="s">
        <v>7606</v>
      </c>
      <c r="C4053" s="2"/>
      <c r="D4053" s="2" t="s">
        <v>16</v>
      </c>
      <c r="E4053" s="4">
        <f>617.18*(1-Z1%)</f>
        <v>617.18</v>
      </c>
      <c r="F4053" s="2">
        <v>8</v>
      </c>
      <c r="G4053" s="2"/>
    </row>
    <row r="4054" spans="1:26" customHeight="1" ht="36" hidden="true" outlineLevel="3">
      <c r="A4054" s="2" t="s">
        <v>7607</v>
      </c>
      <c r="B4054" s="3" t="s">
        <v>7608</v>
      </c>
      <c r="C4054" s="2"/>
      <c r="D4054" s="2" t="s">
        <v>16</v>
      </c>
      <c r="E4054" s="4">
        <f>142.24*(1-Z1%)</f>
        <v>142.24</v>
      </c>
      <c r="F4054" s="2">
        <v>5</v>
      </c>
      <c r="G4054" s="2"/>
    </row>
    <row r="4055" spans="1:26" customHeight="1" ht="36" hidden="true" outlineLevel="3">
      <c r="A4055" s="2" t="s">
        <v>7609</v>
      </c>
      <c r="B4055" s="3" t="s">
        <v>7610</v>
      </c>
      <c r="C4055" s="2"/>
      <c r="D4055" s="2" t="s">
        <v>16</v>
      </c>
      <c r="E4055" s="4">
        <f>80.94*(1-Z1%)</f>
        <v>80.94</v>
      </c>
      <c r="F4055" s="2">
        <v>16</v>
      </c>
      <c r="G4055" s="2"/>
    </row>
    <row r="4056" spans="1:26" customHeight="1" ht="36" hidden="true" outlineLevel="3">
      <c r="A4056" s="2" t="s">
        <v>7611</v>
      </c>
      <c r="B4056" s="3" t="s">
        <v>7612</v>
      </c>
      <c r="C4056" s="2"/>
      <c r="D4056" s="2" t="s">
        <v>16</v>
      </c>
      <c r="E4056" s="4">
        <f>121.01*(1-Z1%)</f>
        <v>121.01</v>
      </c>
      <c r="F4056" s="2">
        <v>50</v>
      </c>
      <c r="G4056" s="2"/>
    </row>
    <row r="4057" spans="1:26" customHeight="1" ht="18" hidden="true" outlineLevel="3">
      <c r="A4057" s="2" t="s">
        <v>7613</v>
      </c>
      <c r="B4057" s="3" t="s">
        <v>7614</v>
      </c>
      <c r="C4057" s="2"/>
      <c r="D4057" s="2" t="s">
        <v>16</v>
      </c>
      <c r="E4057" s="4">
        <f>37.36*(1-Z1%)</f>
        <v>37.36</v>
      </c>
      <c r="F4057" s="2">
        <v>21</v>
      </c>
      <c r="G4057" s="2"/>
    </row>
    <row r="4058" spans="1:26" customHeight="1" ht="18" hidden="true" outlineLevel="3">
      <c r="A4058" s="2" t="s">
        <v>7615</v>
      </c>
      <c r="B4058" s="3" t="s">
        <v>7616</v>
      </c>
      <c r="C4058" s="2"/>
      <c r="D4058" s="2" t="s">
        <v>16</v>
      </c>
      <c r="E4058" s="4">
        <f>99.09*(1-Z1%)</f>
        <v>99.09</v>
      </c>
      <c r="F4058" s="2">
        <v>35</v>
      </c>
      <c r="G4058" s="2"/>
    </row>
    <row r="4059" spans="1:26" customHeight="1" ht="18" hidden="true" outlineLevel="3">
      <c r="A4059" s="2" t="s">
        <v>7617</v>
      </c>
      <c r="B4059" s="3" t="s">
        <v>7618</v>
      </c>
      <c r="C4059" s="2"/>
      <c r="D4059" s="2" t="s">
        <v>16</v>
      </c>
      <c r="E4059" s="4">
        <f>47.34*(1-Z1%)</f>
        <v>47.34</v>
      </c>
      <c r="F4059" s="2">
        <v>429</v>
      </c>
      <c r="G4059" s="2"/>
    </row>
    <row r="4060" spans="1:26" customHeight="1" ht="18" hidden="true" outlineLevel="3">
      <c r="A4060" s="2" t="s">
        <v>7619</v>
      </c>
      <c r="B4060" s="3" t="s">
        <v>7620</v>
      </c>
      <c r="C4060" s="2"/>
      <c r="D4060" s="2" t="s">
        <v>16</v>
      </c>
      <c r="E4060" s="4">
        <f>53.19*(1-Z1%)</f>
        <v>53.19</v>
      </c>
      <c r="F4060" s="2">
        <v>7</v>
      </c>
      <c r="G4060" s="2"/>
    </row>
    <row r="4061" spans="1:26" customHeight="1" ht="18" hidden="true" outlineLevel="3">
      <c r="A4061" s="2" t="s">
        <v>7621</v>
      </c>
      <c r="B4061" s="3" t="s">
        <v>7622</v>
      </c>
      <c r="C4061" s="2"/>
      <c r="D4061" s="2" t="s">
        <v>16</v>
      </c>
      <c r="E4061" s="4">
        <f>75.60*(1-Z1%)</f>
        <v>75.6</v>
      </c>
      <c r="F4061" s="2">
        <v>10</v>
      </c>
      <c r="G4061" s="2"/>
    </row>
    <row r="4062" spans="1:26" customHeight="1" ht="18" hidden="true" outlineLevel="3">
      <c r="A4062" s="2" t="s">
        <v>7623</v>
      </c>
      <c r="B4062" s="3" t="s">
        <v>7624</v>
      </c>
      <c r="C4062" s="2"/>
      <c r="D4062" s="2" t="s">
        <v>16</v>
      </c>
      <c r="E4062" s="4">
        <f>21.74*(1-Z1%)</f>
        <v>21.74</v>
      </c>
      <c r="F4062" s="2">
        <v>417</v>
      </c>
      <c r="G4062" s="2"/>
    </row>
    <row r="4063" spans="1:26" customHeight="1" ht="18" hidden="true" outlineLevel="3">
      <c r="A4063" s="2" t="s">
        <v>7625</v>
      </c>
      <c r="B4063" s="3" t="s">
        <v>7626</v>
      </c>
      <c r="C4063" s="2"/>
      <c r="D4063" s="2" t="s">
        <v>16</v>
      </c>
      <c r="E4063" s="4">
        <f>82.49*(1-Z1%)</f>
        <v>82.49</v>
      </c>
      <c r="F4063" s="2">
        <v>351</v>
      </c>
      <c r="G4063" s="2"/>
    </row>
    <row r="4064" spans="1:26" customHeight="1" ht="18" hidden="true" outlineLevel="3">
      <c r="A4064" s="2" t="s">
        <v>7627</v>
      </c>
      <c r="B4064" s="3" t="s">
        <v>7628</v>
      </c>
      <c r="C4064" s="2"/>
      <c r="D4064" s="2" t="s">
        <v>16</v>
      </c>
      <c r="E4064" s="4">
        <f>42.15*(1-Z1%)</f>
        <v>42.15</v>
      </c>
      <c r="F4064" s="2">
        <v>30</v>
      </c>
      <c r="G4064" s="2"/>
    </row>
    <row r="4065" spans="1:26" customHeight="1" ht="18" hidden="true" outlineLevel="3">
      <c r="A4065" s="2" t="s">
        <v>7629</v>
      </c>
      <c r="B4065" s="3" t="s">
        <v>7630</v>
      </c>
      <c r="C4065" s="2"/>
      <c r="D4065" s="2" t="s">
        <v>16</v>
      </c>
      <c r="E4065" s="4">
        <f>65.93*(1-Z1%)</f>
        <v>65.93</v>
      </c>
      <c r="F4065" s="2">
        <v>25</v>
      </c>
      <c r="G4065" s="2"/>
    </row>
    <row r="4066" spans="1:26" customHeight="1" ht="18" hidden="true" outlineLevel="3">
      <c r="A4066" s="2" t="s">
        <v>7631</v>
      </c>
      <c r="B4066" s="3" t="s">
        <v>7632</v>
      </c>
      <c r="C4066" s="2"/>
      <c r="D4066" s="2" t="s">
        <v>16</v>
      </c>
      <c r="E4066" s="4">
        <f>28.18*(1-Z1%)</f>
        <v>28.18</v>
      </c>
      <c r="F4066" s="2">
        <v>297</v>
      </c>
      <c r="G4066" s="2"/>
    </row>
    <row r="4067" spans="1:26" customHeight="1" ht="18" hidden="true" outlineLevel="3">
      <c r="A4067" s="2" t="s">
        <v>7633</v>
      </c>
      <c r="B4067" s="3" t="s">
        <v>7634</v>
      </c>
      <c r="C4067" s="2"/>
      <c r="D4067" s="2" t="s">
        <v>16</v>
      </c>
      <c r="E4067" s="4">
        <f>87.62*(1-Z1%)</f>
        <v>87.62</v>
      </c>
      <c r="F4067" s="2">
        <v>88</v>
      </c>
      <c r="G4067" s="2"/>
    </row>
    <row r="4068" spans="1:26" customHeight="1" ht="18" hidden="true" outlineLevel="3">
      <c r="A4068" s="2" t="s">
        <v>7635</v>
      </c>
      <c r="B4068" s="3" t="s">
        <v>7636</v>
      </c>
      <c r="C4068" s="2"/>
      <c r="D4068" s="2" t="s">
        <v>16</v>
      </c>
      <c r="E4068" s="4">
        <f>134.60*(1-Z1%)</f>
        <v>134.6</v>
      </c>
      <c r="F4068" s="2">
        <v>42</v>
      </c>
      <c r="G4068" s="2"/>
    </row>
    <row r="4069" spans="1:26" customHeight="1" ht="35" hidden="true" outlineLevel="3">
      <c r="A4069" s="5" t="s">
        <v>7637</v>
      </c>
      <c r="B4069" s="5"/>
      <c r="C4069" s="5"/>
      <c r="D4069" s="5"/>
      <c r="E4069" s="5"/>
      <c r="F4069" s="5"/>
      <c r="G4069" s="5"/>
    </row>
    <row r="4070" spans="1:26" customHeight="1" ht="18" hidden="true" outlineLevel="3">
      <c r="A4070" s="2" t="s">
        <v>7638</v>
      </c>
      <c r="B4070" s="3" t="s">
        <v>7639</v>
      </c>
      <c r="C4070" s="2"/>
      <c r="D4070" s="2" t="s">
        <v>16</v>
      </c>
      <c r="E4070" s="4">
        <f>43.43*(1-Z1%)</f>
        <v>43.43</v>
      </c>
      <c r="F4070" s="2">
        <v>25</v>
      </c>
      <c r="G4070" s="2"/>
    </row>
    <row r="4071" spans="1:26" customHeight="1" ht="18" hidden="true" outlineLevel="3">
      <c r="A4071" s="2" t="s">
        <v>7640</v>
      </c>
      <c r="B4071" s="3" t="s">
        <v>7641</v>
      </c>
      <c r="C4071" s="2"/>
      <c r="D4071" s="2" t="s">
        <v>16</v>
      </c>
      <c r="E4071" s="4">
        <f>27.90*(1-Z1%)</f>
        <v>27.9</v>
      </c>
      <c r="F4071" s="2">
        <v>75</v>
      </c>
      <c r="G4071" s="2"/>
    </row>
    <row r="4072" spans="1:26" customHeight="1" ht="18" hidden="true" outlineLevel="3">
      <c r="A4072" s="2" t="s">
        <v>7642</v>
      </c>
      <c r="B4072" s="3" t="s">
        <v>7643</v>
      </c>
      <c r="C4072" s="2"/>
      <c r="D4072" s="2" t="s">
        <v>16</v>
      </c>
      <c r="E4072" s="4">
        <f>45.51*(1-Z1%)</f>
        <v>45.51</v>
      </c>
      <c r="F4072" s="2">
        <v>20</v>
      </c>
      <c r="G4072" s="2"/>
    </row>
    <row r="4073" spans="1:26" customHeight="1" ht="18" hidden="true" outlineLevel="3">
      <c r="A4073" s="2" t="s">
        <v>7644</v>
      </c>
      <c r="B4073" s="3" t="s">
        <v>7645</v>
      </c>
      <c r="C4073" s="2"/>
      <c r="D4073" s="2" t="s">
        <v>16</v>
      </c>
      <c r="E4073" s="4">
        <f>27.90*(1-Z1%)</f>
        <v>27.9</v>
      </c>
      <c r="F4073" s="2">
        <v>55</v>
      </c>
      <c r="G4073" s="2"/>
    </row>
    <row r="4074" spans="1:26" customHeight="1" ht="18" hidden="true" outlineLevel="3">
      <c r="A4074" s="2" t="s">
        <v>7646</v>
      </c>
      <c r="B4074" s="3" t="s">
        <v>7647</v>
      </c>
      <c r="C4074" s="2"/>
      <c r="D4074" s="2" t="s">
        <v>16</v>
      </c>
      <c r="E4074" s="4">
        <f>44.15*(1-Z1%)</f>
        <v>44.15</v>
      </c>
      <c r="F4074" s="2">
        <v>30</v>
      </c>
      <c r="G4074" s="2"/>
    </row>
    <row r="4075" spans="1:26" customHeight="1" ht="18" hidden="true" outlineLevel="3">
      <c r="A4075" s="2" t="s">
        <v>7648</v>
      </c>
      <c r="B4075" s="3" t="s">
        <v>7649</v>
      </c>
      <c r="C4075" s="2"/>
      <c r="D4075" s="2" t="s">
        <v>16</v>
      </c>
      <c r="E4075" s="4">
        <f>462.14*(1-Z1%)</f>
        <v>462.14</v>
      </c>
      <c r="F4075" s="2">
        <v>9</v>
      </c>
      <c r="G4075" s="2"/>
    </row>
    <row r="4076" spans="1:26" customHeight="1" ht="18" hidden="true" outlineLevel="3">
      <c r="A4076" s="2" t="s">
        <v>7650</v>
      </c>
      <c r="B4076" s="3" t="s">
        <v>7651</v>
      </c>
      <c r="C4076" s="2"/>
      <c r="D4076" s="2" t="s">
        <v>16</v>
      </c>
      <c r="E4076" s="4">
        <f>321.03*(1-Z1%)</f>
        <v>321.03</v>
      </c>
      <c r="F4076" s="2">
        <v>2</v>
      </c>
      <c r="G4076" s="2"/>
    </row>
    <row r="4077" spans="1:26" customHeight="1" ht="18" hidden="true" outlineLevel="3">
      <c r="A4077" s="2" t="s">
        <v>7652</v>
      </c>
      <c r="B4077" s="3" t="s">
        <v>7653</v>
      </c>
      <c r="C4077" s="2"/>
      <c r="D4077" s="2" t="s">
        <v>16</v>
      </c>
      <c r="E4077" s="4">
        <f>212.36*(1-Z1%)</f>
        <v>212.36</v>
      </c>
      <c r="F4077" s="2">
        <v>10</v>
      </c>
      <c r="G4077" s="2"/>
    </row>
    <row r="4078" spans="1:26" customHeight="1" ht="18" hidden="true" outlineLevel="3">
      <c r="A4078" s="2" t="s">
        <v>7654</v>
      </c>
      <c r="B4078" s="3" t="s">
        <v>7655</v>
      </c>
      <c r="C4078" s="2"/>
      <c r="D4078" s="2" t="s">
        <v>16</v>
      </c>
      <c r="E4078" s="4">
        <f>38.37*(1-Z1%)</f>
        <v>38.37</v>
      </c>
      <c r="F4078" s="2">
        <v>60</v>
      </c>
      <c r="G4078" s="2"/>
    </row>
    <row r="4079" spans="1:26" customHeight="1" ht="18" hidden="true" outlineLevel="3">
      <c r="A4079" s="2" t="s">
        <v>7656</v>
      </c>
      <c r="B4079" s="3" t="s">
        <v>7657</v>
      </c>
      <c r="C4079" s="2"/>
      <c r="D4079" s="2" t="s">
        <v>16</v>
      </c>
      <c r="E4079" s="4">
        <f>55.07*(1-Z1%)</f>
        <v>55.07</v>
      </c>
      <c r="F4079" s="2">
        <v>90</v>
      </c>
      <c r="G4079" s="2"/>
    </row>
    <row r="4080" spans="1:26" customHeight="1" ht="18" hidden="true" outlineLevel="3">
      <c r="A4080" s="2" t="s">
        <v>7658</v>
      </c>
      <c r="B4080" s="3" t="s">
        <v>7659</v>
      </c>
      <c r="C4080" s="2"/>
      <c r="D4080" s="2" t="s">
        <v>16</v>
      </c>
      <c r="E4080" s="4">
        <f>28.26*(1-Z1%)</f>
        <v>28.26</v>
      </c>
      <c r="F4080" s="2">
        <v>45</v>
      </c>
      <c r="G4080" s="2"/>
    </row>
    <row r="4081" spans="1:26" customHeight="1" ht="18" hidden="true" outlineLevel="3">
      <c r="A4081" s="2" t="s">
        <v>7660</v>
      </c>
      <c r="B4081" s="3" t="s">
        <v>7661</v>
      </c>
      <c r="C4081" s="2"/>
      <c r="D4081" s="2" t="s">
        <v>16</v>
      </c>
      <c r="E4081" s="4">
        <f>30.05*(1-Z1%)</f>
        <v>30.05</v>
      </c>
      <c r="F4081" s="2">
        <v>35</v>
      </c>
      <c r="G4081" s="2"/>
    </row>
    <row r="4082" spans="1:26" customHeight="1" ht="18" hidden="true" outlineLevel="3">
      <c r="A4082" s="2" t="s">
        <v>7662</v>
      </c>
      <c r="B4082" s="3" t="s">
        <v>7663</v>
      </c>
      <c r="C4082" s="2"/>
      <c r="D4082" s="2" t="s">
        <v>16</v>
      </c>
      <c r="E4082" s="4">
        <f>92.61*(1-Z1%)</f>
        <v>92.61</v>
      </c>
      <c r="F4082" s="2">
        <v>53</v>
      </c>
      <c r="G4082" s="2"/>
    </row>
    <row r="4083" spans="1:26" customHeight="1" ht="18" hidden="true" outlineLevel="3">
      <c r="A4083" s="2" t="s">
        <v>7664</v>
      </c>
      <c r="B4083" s="3" t="s">
        <v>7665</v>
      </c>
      <c r="C4083" s="2"/>
      <c r="D4083" s="2" t="s">
        <v>16</v>
      </c>
      <c r="E4083" s="4">
        <f>109.62*(1-Z1%)</f>
        <v>109.62</v>
      </c>
      <c r="F4083" s="2">
        <v>31</v>
      </c>
      <c r="G4083" s="2"/>
    </row>
    <row r="4084" spans="1:26" customHeight="1" ht="18" hidden="true" outlineLevel="3">
      <c r="A4084" s="2" t="s">
        <v>7666</v>
      </c>
      <c r="B4084" s="3" t="s">
        <v>7667</v>
      </c>
      <c r="C4084" s="2"/>
      <c r="D4084" s="2" t="s">
        <v>16</v>
      </c>
      <c r="E4084" s="4">
        <f>39.97*(1-Z1%)</f>
        <v>39.97</v>
      </c>
      <c r="F4084" s="2">
        <v>20</v>
      </c>
      <c r="G4084" s="2"/>
    </row>
    <row r="4085" spans="1:26" customHeight="1" ht="18" hidden="true" outlineLevel="3">
      <c r="A4085" s="2" t="s">
        <v>7668</v>
      </c>
      <c r="B4085" s="3" t="s">
        <v>7669</v>
      </c>
      <c r="C4085" s="2"/>
      <c r="D4085" s="2" t="s">
        <v>16</v>
      </c>
      <c r="E4085" s="4">
        <f>16.77*(1-Z1%)</f>
        <v>16.77</v>
      </c>
      <c r="F4085" s="2">
        <v>85</v>
      </c>
      <c r="G4085" s="2"/>
    </row>
    <row r="4086" spans="1:26" customHeight="1" ht="18" hidden="true" outlineLevel="3">
      <c r="A4086" s="2" t="s">
        <v>7670</v>
      </c>
      <c r="B4086" s="3" t="s">
        <v>7671</v>
      </c>
      <c r="C4086" s="2"/>
      <c r="D4086" s="2" t="s">
        <v>16</v>
      </c>
      <c r="E4086" s="4">
        <f>88.82*(1-Z1%)</f>
        <v>88.82</v>
      </c>
      <c r="F4086" s="2">
        <v>96</v>
      </c>
      <c r="G4086" s="2"/>
    </row>
    <row r="4087" spans="1:26" customHeight="1" ht="18" hidden="true" outlineLevel="3">
      <c r="A4087" s="2" t="s">
        <v>7672</v>
      </c>
      <c r="B4087" s="3" t="s">
        <v>7673</v>
      </c>
      <c r="C4087" s="2"/>
      <c r="D4087" s="2" t="s">
        <v>16</v>
      </c>
      <c r="E4087" s="4">
        <f>112.50*(1-Z1%)</f>
        <v>112.5</v>
      </c>
      <c r="F4087" s="2">
        <v>3</v>
      </c>
      <c r="G4087" s="2"/>
    </row>
    <row r="4088" spans="1:26" customHeight="1" ht="18" hidden="true" outlineLevel="3">
      <c r="A4088" s="2" t="s">
        <v>7674</v>
      </c>
      <c r="B4088" s="3" t="s">
        <v>7675</v>
      </c>
      <c r="C4088" s="2"/>
      <c r="D4088" s="2" t="s">
        <v>16</v>
      </c>
      <c r="E4088" s="4">
        <f>89.80*(1-Z1%)</f>
        <v>89.8</v>
      </c>
      <c r="F4088" s="2">
        <v>33</v>
      </c>
      <c r="G4088" s="2"/>
    </row>
    <row r="4089" spans="1:26" customHeight="1" ht="18" hidden="true" outlineLevel="3">
      <c r="A4089" s="2" t="s">
        <v>7676</v>
      </c>
      <c r="B4089" s="3" t="s">
        <v>7677</v>
      </c>
      <c r="C4089" s="2"/>
      <c r="D4089" s="2" t="s">
        <v>16</v>
      </c>
      <c r="E4089" s="4">
        <f>245.54*(1-Z1%)</f>
        <v>245.54</v>
      </c>
      <c r="F4089" s="2">
        <v>6</v>
      </c>
      <c r="G4089" s="2"/>
    </row>
    <row r="4090" spans="1:26" customHeight="1" ht="35" hidden="true" outlineLevel="3">
      <c r="A4090" s="5" t="s">
        <v>7678</v>
      </c>
      <c r="B4090" s="5"/>
      <c r="C4090" s="5"/>
      <c r="D4090" s="5"/>
      <c r="E4090" s="5"/>
      <c r="F4090" s="5"/>
      <c r="G4090" s="5"/>
    </row>
    <row r="4091" spans="1:26" customHeight="1" ht="18" hidden="true" outlineLevel="3">
      <c r="A4091" s="2" t="s">
        <v>7679</v>
      </c>
      <c r="B4091" s="3" t="s">
        <v>7680</v>
      </c>
      <c r="C4091" s="2"/>
      <c r="D4091" s="2" t="s">
        <v>16</v>
      </c>
      <c r="E4091" s="4">
        <f>92.14*(1-Z1%)</f>
        <v>92.14</v>
      </c>
      <c r="F4091" s="2">
        <v>8</v>
      </c>
      <c r="G4091" s="2"/>
    </row>
    <row r="4092" spans="1:26" customHeight="1" ht="18" hidden="true" outlineLevel="3">
      <c r="A4092" s="2" t="s">
        <v>7681</v>
      </c>
      <c r="B4092" s="3" t="s">
        <v>7682</v>
      </c>
      <c r="C4092" s="2"/>
      <c r="D4092" s="2" t="s">
        <v>16</v>
      </c>
      <c r="E4092" s="4">
        <f>28.29*(1-Z1%)</f>
        <v>28.29</v>
      </c>
      <c r="F4092" s="2">
        <v>50</v>
      </c>
      <c r="G4092" s="2"/>
    </row>
    <row r="4093" spans="1:26" customHeight="1" ht="18" hidden="true" outlineLevel="3">
      <c r="A4093" s="2" t="s">
        <v>7683</v>
      </c>
      <c r="B4093" s="3" t="s">
        <v>7684</v>
      </c>
      <c r="C4093" s="2"/>
      <c r="D4093" s="2" t="s">
        <v>16</v>
      </c>
      <c r="E4093" s="4">
        <f>153.70*(1-Z1%)</f>
        <v>153.7</v>
      </c>
      <c r="F4093" s="2">
        <v>10</v>
      </c>
      <c r="G4093" s="2"/>
    </row>
    <row r="4094" spans="1:26" customHeight="1" ht="18" hidden="true" outlineLevel="3">
      <c r="A4094" s="2" t="s">
        <v>7685</v>
      </c>
      <c r="B4094" s="3" t="s">
        <v>7686</v>
      </c>
      <c r="C4094" s="2"/>
      <c r="D4094" s="2" t="s">
        <v>16</v>
      </c>
      <c r="E4094" s="4">
        <f>104.25*(1-Z1%)</f>
        <v>104.25</v>
      </c>
      <c r="F4094" s="2">
        <v>2</v>
      </c>
      <c r="G4094" s="2"/>
    </row>
    <row r="4095" spans="1:26" customHeight="1" ht="18" hidden="true" outlineLevel="3">
      <c r="A4095" s="2" t="s">
        <v>7687</v>
      </c>
      <c r="B4095" s="3" t="s">
        <v>7688</v>
      </c>
      <c r="C4095" s="2"/>
      <c r="D4095" s="2" t="s">
        <v>16</v>
      </c>
      <c r="E4095" s="4">
        <f>19.60*(1-Z1%)</f>
        <v>19.6</v>
      </c>
      <c r="F4095" s="2">
        <v>52</v>
      </c>
      <c r="G4095" s="2"/>
    </row>
    <row r="4096" spans="1:26" customHeight="1" ht="18" hidden="true" outlineLevel="3">
      <c r="A4096" s="2" t="s">
        <v>7689</v>
      </c>
      <c r="B4096" s="3" t="s">
        <v>7690</v>
      </c>
      <c r="C4096" s="2"/>
      <c r="D4096" s="2" t="s">
        <v>16</v>
      </c>
      <c r="E4096" s="4">
        <f>36.41*(1-Z1%)</f>
        <v>36.41</v>
      </c>
      <c r="F4096" s="2">
        <v>118</v>
      </c>
      <c r="G4096" s="2"/>
    </row>
    <row r="4097" spans="1:26" customHeight="1" ht="18" hidden="true" outlineLevel="3">
      <c r="A4097" s="2" t="s">
        <v>7691</v>
      </c>
      <c r="B4097" s="3" t="s">
        <v>7692</v>
      </c>
      <c r="C4097" s="2"/>
      <c r="D4097" s="2" t="s">
        <v>16</v>
      </c>
      <c r="E4097" s="4">
        <f>31.36*(1-Z1%)</f>
        <v>31.36</v>
      </c>
      <c r="F4097" s="2">
        <v>52</v>
      </c>
      <c r="G4097" s="2"/>
    </row>
    <row r="4098" spans="1:26" customHeight="1" ht="18" hidden="true" outlineLevel="3">
      <c r="A4098" s="2" t="s">
        <v>7693</v>
      </c>
      <c r="B4098" s="3" t="s">
        <v>7694</v>
      </c>
      <c r="C4098" s="2"/>
      <c r="D4098" s="2" t="s">
        <v>16</v>
      </c>
      <c r="E4098" s="4">
        <f>71.89*(1-Z1%)</f>
        <v>71.89</v>
      </c>
      <c r="F4098" s="2">
        <v>48</v>
      </c>
      <c r="G4098" s="2"/>
    </row>
    <row r="4099" spans="1:26" customHeight="1" ht="18" hidden="true" outlineLevel="3">
      <c r="A4099" s="2" t="s">
        <v>7695</v>
      </c>
      <c r="B4099" s="3" t="s">
        <v>7696</v>
      </c>
      <c r="C4099" s="2"/>
      <c r="D4099" s="2" t="s">
        <v>16</v>
      </c>
      <c r="E4099" s="4">
        <f>55.94*(1-Z1%)</f>
        <v>55.94</v>
      </c>
      <c r="F4099" s="2">
        <v>30</v>
      </c>
      <c r="G4099" s="2"/>
    </row>
    <row r="4100" spans="1:26" customHeight="1" ht="18" hidden="true" outlineLevel="3">
      <c r="A4100" s="2" t="s">
        <v>7697</v>
      </c>
      <c r="B4100" s="3" t="s">
        <v>7698</v>
      </c>
      <c r="C4100" s="2"/>
      <c r="D4100" s="2" t="s">
        <v>16</v>
      </c>
      <c r="E4100" s="4">
        <f>16.07*(1-Z1%)</f>
        <v>16.07</v>
      </c>
      <c r="F4100" s="2">
        <v>86</v>
      </c>
      <c r="G4100" s="2"/>
    </row>
    <row r="4101" spans="1:26" customHeight="1" ht="18" hidden="true" outlineLevel="3">
      <c r="A4101" s="2" t="s">
        <v>7699</v>
      </c>
      <c r="B4101" s="3" t="s">
        <v>7700</v>
      </c>
      <c r="C4101" s="2"/>
      <c r="D4101" s="2" t="s">
        <v>16</v>
      </c>
      <c r="E4101" s="4">
        <f>53.87*(1-Z1%)</f>
        <v>53.87</v>
      </c>
      <c r="F4101" s="2">
        <v>26</v>
      </c>
      <c r="G4101" s="2"/>
    </row>
    <row r="4102" spans="1:26" customHeight="1" ht="18" hidden="true" outlineLevel="3">
      <c r="A4102" s="2" t="s">
        <v>7701</v>
      </c>
      <c r="B4102" s="3" t="s">
        <v>7702</v>
      </c>
      <c r="C4102" s="2"/>
      <c r="D4102" s="2" t="s">
        <v>16</v>
      </c>
      <c r="E4102" s="4">
        <f>19.78*(1-Z1%)</f>
        <v>19.78</v>
      </c>
      <c r="F4102" s="2">
        <v>62</v>
      </c>
      <c r="G4102" s="2"/>
    </row>
    <row r="4103" spans="1:26" customHeight="1" ht="18" hidden="true" outlineLevel="3">
      <c r="A4103" s="2" t="s">
        <v>7703</v>
      </c>
      <c r="B4103" s="3" t="s">
        <v>7704</v>
      </c>
      <c r="C4103" s="2"/>
      <c r="D4103" s="2" t="s">
        <v>16</v>
      </c>
      <c r="E4103" s="4">
        <f>40.51*(1-Z1%)</f>
        <v>40.51</v>
      </c>
      <c r="F4103" s="2">
        <v>56</v>
      </c>
      <c r="G4103" s="2"/>
    </row>
    <row r="4104" spans="1:26" customHeight="1" ht="35" hidden="true" outlineLevel="3">
      <c r="A4104" s="5" t="s">
        <v>7705</v>
      </c>
      <c r="B4104" s="5"/>
      <c r="C4104" s="5"/>
      <c r="D4104" s="5"/>
      <c r="E4104" s="5"/>
      <c r="F4104" s="5"/>
      <c r="G4104" s="5"/>
    </row>
    <row r="4105" spans="1:26" customHeight="1" ht="18" hidden="true" outlineLevel="3">
      <c r="A4105" s="2" t="s">
        <v>7706</v>
      </c>
      <c r="B4105" s="3" t="s">
        <v>7707</v>
      </c>
      <c r="C4105" s="2"/>
      <c r="D4105" s="2" t="s">
        <v>16</v>
      </c>
      <c r="E4105" s="4">
        <f>122.22*(1-Z1%)</f>
        <v>122.22</v>
      </c>
      <c r="F4105" s="2">
        <v>52</v>
      </c>
      <c r="G4105" s="2"/>
    </row>
    <row r="4106" spans="1:26" customHeight="1" ht="18" hidden="true" outlineLevel="3">
      <c r="A4106" s="2" t="s">
        <v>7708</v>
      </c>
      <c r="B4106" s="3" t="s">
        <v>7709</v>
      </c>
      <c r="C4106" s="2"/>
      <c r="D4106" s="2" t="s">
        <v>16</v>
      </c>
      <c r="E4106" s="4">
        <f>46.08*(1-Z1%)</f>
        <v>46.08</v>
      </c>
      <c r="F4106" s="2">
        <v>56</v>
      </c>
      <c r="G4106" s="2"/>
    </row>
    <row r="4107" spans="1:26" customHeight="1" ht="18" hidden="true" outlineLevel="3">
      <c r="A4107" s="2" t="s">
        <v>7710</v>
      </c>
      <c r="B4107" s="3" t="s">
        <v>7711</v>
      </c>
      <c r="C4107" s="2"/>
      <c r="D4107" s="2" t="s">
        <v>16</v>
      </c>
      <c r="E4107" s="4">
        <f>29.08*(1-Z1%)</f>
        <v>29.08</v>
      </c>
      <c r="F4107" s="2">
        <v>60</v>
      </c>
      <c r="G4107" s="2"/>
    </row>
    <row r="4108" spans="1:26" customHeight="1" ht="18" hidden="true" outlineLevel="3">
      <c r="A4108" s="2" t="s">
        <v>7712</v>
      </c>
      <c r="B4108" s="3" t="s">
        <v>7713</v>
      </c>
      <c r="C4108" s="2"/>
      <c r="D4108" s="2" t="s">
        <v>16</v>
      </c>
      <c r="E4108" s="4">
        <f>114.43*(1-Z1%)</f>
        <v>114.43</v>
      </c>
      <c r="F4108" s="2">
        <v>60</v>
      </c>
      <c r="G4108" s="2"/>
    </row>
    <row r="4109" spans="1:26" customHeight="1" ht="18" hidden="true" outlineLevel="3">
      <c r="A4109" s="2" t="s">
        <v>7714</v>
      </c>
      <c r="B4109" s="3" t="s">
        <v>7715</v>
      </c>
      <c r="C4109" s="2"/>
      <c r="D4109" s="2" t="s">
        <v>16</v>
      </c>
      <c r="E4109" s="4">
        <f>49.37*(1-Z1%)</f>
        <v>49.37</v>
      </c>
      <c r="F4109" s="2">
        <v>178</v>
      </c>
      <c r="G4109" s="2"/>
    </row>
    <row r="4110" spans="1:26" customHeight="1" ht="18" hidden="true" outlineLevel="3">
      <c r="A4110" s="2" t="s">
        <v>7716</v>
      </c>
      <c r="B4110" s="3" t="s">
        <v>7717</v>
      </c>
      <c r="C4110" s="2"/>
      <c r="D4110" s="2" t="s">
        <v>16</v>
      </c>
      <c r="E4110" s="4">
        <f>131.98*(1-Z1%)</f>
        <v>131.98</v>
      </c>
      <c r="F4110" s="2">
        <v>4</v>
      </c>
      <c r="G4110" s="2"/>
    </row>
    <row r="4111" spans="1:26" customHeight="1" ht="18" hidden="true" outlineLevel="3">
      <c r="A4111" s="2" t="s">
        <v>7718</v>
      </c>
      <c r="B4111" s="3" t="s">
        <v>7719</v>
      </c>
      <c r="C4111" s="2"/>
      <c r="D4111" s="2" t="s">
        <v>16</v>
      </c>
      <c r="E4111" s="4">
        <f>43.06*(1-Z1%)</f>
        <v>43.06</v>
      </c>
      <c r="F4111" s="2">
        <v>162</v>
      </c>
      <c r="G4111" s="2"/>
    </row>
    <row r="4112" spans="1:26" customHeight="1" ht="18" hidden="true" outlineLevel="3">
      <c r="A4112" s="2" t="s">
        <v>7720</v>
      </c>
      <c r="B4112" s="3" t="s">
        <v>7721</v>
      </c>
      <c r="C4112" s="2"/>
      <c r="D4112" s="2" t="s">
        <v>16</v>
      </c>
      <c r="E4112" s="4">
        <f>95.39*(1-Z1%)</f>
        <v>95.39</v>
      </c>
      <c r="F4112" s="2">
        <v>86</v>
      </c>
      <c r="G4112" s="2"/>
    </row>
    <row r="4113" spans="1:26" customHeight="1" ht="18" hidden="true" outlineLevel="3">
      <c r="A4113" s="2" t="s">
        <v>7722</v>
      </c>
      <c r="B4113" s="3" t="s">
        <v>7723</v>
      </c>
      <c r="C4113" s="2"/>
      <c r="D4113" s="2" t="s">
        <v>16</v>
      </c>
      <c r="E4113" s="4">
        <f>82.69*(1-Z1%)</f>
        <v>82.69</v>
      </c>
      <c r="F4113" s="2">
        <v>2</v>
      </c>
      <c r="G4113" s="2"/>
    </row>
    <row r="4114" spans="1:26" customHeight="1" ht="18" hidden="true" outlineLevel="3">
      <c r="A4114" s="2" t="s">
        <v>7724</v>
      </c>
      <c r="B4114" s="3" t="s">
        <v>7725</v>
      </c>
      <c r="C4114" s="2"/>
      <c r="D4114" s="2" t="s">
        <v>16</v>
      </c>
      <c r="E4114" s="4">
        <f>25.52*(1-Z1%)</f>
        <v>25.52</v>
      </c>
      <c r="F4114" s="2">
        <v>278</v>
      </c>
      <c r="G4114" s="2"/>
    </row>
    <row r="4115" spans="1:26" customHeight="1" ht="18" hidden="true" outlineLevel="3">
      <c r="A4115" s="2" t="s">
        <v>7726</v>
      </c>
      <c r="B4115" s="3" t="s">
        <v>7727</v>
      </c>
      <c r="C4115" s="2"/>
      <c r="D4115" s="2" t="s">
        <v>16</v>
      </c>
      <c r="E4115" s="4">
        <f>41.95*(1-Z1%)</f>
        <v>41.95</v>
      </c>
      <c r="F4115" s="2">
        <v>76</v>
      </c>
      <c r="G4115" s="2"/>
    </row>
    <row r="4116" spans="1:26" customHeight="1" ht="18" hidden="true" outlineLevel="3">
      <c r="A4116" s="2" t="s">
        <v>7728</v>
      </c>
      <c r="B4116" s="3" t="s">
        <v>7729</v>
      </c>
      <c r="C4116" s="2"/>
      <c r="D4116" s="2" t="s">
        <v>16</v>
      </c>
      <c r="E4116" s="4">
        <f>81.23*(1-Z1%)</f>
        <v>81.23</v>
      </c>
      <c r="F4116" s="2">
        <v>116</v>
      </c>
      <c r="G4116" s="2"/>
    </row>
    <row r="4117" spans="1:26" customHeight="1" ht="18" hidden="true" outlineLevel="3">
      <c r="A4117" s="2" t="s">
        <v>7730</v>
      </c>
      <c r="B4117" s="3" t="s">
        <v>7731</v>
      </c>
      <c r="C4117" s="2"/>
      <c r="D4117" s="2" t="s">
        <v>16</v>
      </c>
      <c r="E4117" s="4">
        <f>25.42*(1-Z1%)</f>
        <v>25.42</v>
      </c>
      <c r="F4117" s="2">
        <v>8</v>
      </c>
      <c r="G4117" s="2"/>
    </row>
    <row r="4118" spans="1:26" customHeight="1" ht="18" hidden="true" outlineLevel="3">
      <c r="A4118" s="2" t="s">
        <v>7732</v>
      </c>
      <c r="B4118" s="3" t="s">
        <v>7733</v>
      </c>
      <c r="C4118" s="2"/>
      <c r="D4118" s="2" t="s">
        <v>16</v>
      </c>
      <c r="E4118" s="4">
        <f>26.87*(1-Z1%)</f>
        <v>26.87</v>
      </c>
      <c r="F4118" s="2">
        <v>126</v>
      </c>
      <c r="G4118" s="2"/>
    </row>
    <row r="4119" spans="1:26" customHeight="1" ht="18" hidden="true" outlineLevel="3">
      <c r="A4119" s="2" t="s">
        <v>7734</v>
      </c>
      <c r="B4119" s="3" t="s">
        <v>7735</v>
      </c>
      <c r="C4119" s="2"/>
      <c r="D4119" s="2" t="s">
        <v>16</v>
      </c>
      <c r="E4119" s="4">
        <f>120.02*(1-Z1%)</f>
        <v>120.02</v>
      </c>
      <c r="F4119" s="2">
        <v>86</v>
      </c>
      <c r="G4119" s="2"/>
    </row>
    <row r="4120" spans="1:26" customHeight="1" ht="18" hidden="true" outlineLevel="3">
      <c r="A4120" s="2" t="s">
        <v>7736</v>
      </c>
      <c r="B4120" s="3" t="s">
        <v>7737</v>
      </c>
      <c r="C4120" s="2"/>
      <c r="D4120" s="2" t="s">
        <v>16</v>
      </c>
      <c r="E4120" s="4">
        <f>132.87*(1-Z1%)</f>
        <v>132.87</v>
      </c>
      <c r="F4120" s="2">
        <v>46</v>
      </c>
      <c r="G4120" s="2"/>
    </row>
    <row r="4121" spans="1:26" customHeight="1" ht="35" hidden="true" outlineLevel="3">
      <c r="A4121" s="5" t="s">
        <v>7738</v>
      </c>
      <c r="B4121" s="5"/>
      <c r="C4121" s="5"/>
      <c r="D4121" s="5"/>
      <c r="E4121" s="5"/>
      <c r="F4121" s="5"/>
      <c r="G4121" s="5"/>
    </row>
    <row r="4122" spans="1:26" customHeight="1" ht="36" hidden="true" outlineLevel="3">
      <c r="A4122" s="2" t="s">
        <v>7739</v>
      </c>
      <c r="B4122" s="3" t="s">
        <v>7740</v>
      </c>
      <c r="C4122" s="2"/>
      <c r="D4122" s="2" t="s">
        <v>16</v>
      </c>
      <c r="E4122" s="4">
        <f>45.50*(1-Z1%)</f>
        <v>45.5</v>
      </c>
      <c r="F4122" s="2">
        <v>72</v>
      </c>
      <c r="G4122" s="2"/>
    </row>
    <row r="4123" spans="1:26" customHeight="1" ht="36" hidden="true" outlineLevel="3">
      <c r="A4123" s="2" t="s">
        <v>7741</v>
      </c>
      <c r="B4123" s="3" t="s">
        <v>7742</v>
      </c>
      <c r="C4123" s="2"/>
      <c r="D4123" s="2" t="s">
        <v>16</v>
      </c>
      <c r="E4123" s="4">
        <f>43.24*(1-Z1%)</f>
        <v>43.24</v>
      </c>
      <c r="F4123" s="2">
        <v>126</v>
      </c>
      <c r="G4123" s="2"/>
    </row>
    <row r="4124" spans="1:26" customHeight="1" ht="36" hidden="true" outlineLevel="3">
      <c r="A4124" s="2" t="s">
        <v>7743</v>
      </c>
      <c r="B4124" s="3" t="s">
        <v>7744</v>
      </c>
      <c r="C4124" s="2"/>
      <c r="D4124" s="2" t="s">
        <v>16</v>
      </c>
      <c r="E4124" s="4">
        <f>45.09*(1-Z1%)</f>
        <v>45.09</v>
      </c>
      <c r="F4124" s="2">
        <v>90</v>
      </c>
      <c r="G4124" s="2"/>
    </row>
    <row r="4125" spans="1:26" customHeight="1" ht="36" hidden="true" outlineLevel="3">
      <c r="A4125" s="2" t="s">
        <v>7745</v>
      </c>
      <c r="B4125" s="3" t="s">
        <v>7746</v>
      </c>
      <c r="C4125" s="2"/>
      <c r="D4125" s="2" t="s">
        <v>16</v>
      </c>
      <c r="E4125" s="4">
        <f>43.24*(1-Z1%)</f>
        <v>43.24</v>
      </c>
      <c r="F4125" s="2">
        <v>114</v>
      </c>
      <c r="G4125" s="2"/>
    </row>
    <row r="4126" spans="1:26" customHeight="1" ht="36" hidden="true" outlineLevel="3">
      <c r="A4126" s="2" t="s">
        <v>7747</v>
      </c>
      <c r="B4126" s="3" t="s">
        <v>7748</v>
      </c>
      <c r="C4126" s="2"/>
      <c r="D4126" s="2" t="s">
        <v>16</v>
      </c>
      <c r="E4126" s="4">
        <f>35.00*(1-Z1%)</f>
        <v>35</v>
      </c>
      <c r="F4126" s="2">
        <v>6</v>
      </c>
      <c r="G4126" s="2"/>
    </row>
    <row r="4127" spans="1:26" customHeight="1" ht="18" hidden="true" outlineLevel="3">
      <c r="A4127" s="2" t="s">
        <v>7749</v>
      </c>
      <c r="B4127" s="3" t="s">
        <v>7750</v>
      </c>
      <c r="C4127" s="2"/>
      <c r="D4127" s="2" t="s">
        <v>16</v>
      </c>
      <c r="E4127" s="4">
        <f>45.29*(1-Z1%)</f>
        <v>45.29</v>
      </c>
      <c r="F4127" s="2">
        <v>42</v>
      </c>
      <c r="G4127" s="2"/>
    </row>
    <row r="4128" spans="1:26" customHeight="1" ht="18" hidden="true" outlineLevel="3">
      <c r="A4128" s="2" t="s">
        <v>7751</v>
      </c>
      <c r="B4128" s="3" t="s">
        <v>7752</v>
      </c>
      <c r="C4128" s="2"/>
      <c r="D4128" s="2" t="s">
        <v>16</v>
      </c>
      <c r="E4128" s="4">
        <f>51.98*(1-Z1%)</f>
        <v>51.98</v>
      </c>
      <c r="F4128" s="2">
        <v>54</v>
      </c>
      <c r="G4128" s="2"/>
    </row>
    <row r="4129" spans="1:26" customHeight="1" ht="18" hidden="true" outlineLevel="3">
      <c r="A4129" s="2" t="s">
        <v>7753</v>
      </c>
      <c r="B4129" s="3" t="s">
        <v>7754</v>
      </c>
      <c r="C4129" s="2"/>
      <c r="D4129" s="2" t="s">
        <v>16</v>
      </c>
      <c r="E4129" s="4">
        <f>54.49*(1-Z1%)</f>
        <v>54.49</v>
      </c>
      <c r="F4129" s="2">
        <v>36</v>
      </c>
      <c r="G4129" s="2"/>
    </row>
    <row r="4130" spans="1:26" customHeight="1" ht="36" hidden="true" outlineLevel="3">
      <c r="A4130" s="2" t="s">
        <v>7755</v>
      </c>
      <c r="B4130" s="3" t="s">
        <v>7756</v>
      </c>
      <c r="C4130" s="2"/>
      <c r="D4130" s="2" t="s">
        <v>16</v>
      </c>
      <c r="E4130" s="4">
        <f>35.24*(1-Z1%)</f>
        <v>35.24</v>
      </c>
      <c r="F4130" s="2">
        <v>84</v>
      </c>
      <c r="G4130" s="2"/>
    </row>
    <row r="4131" spans="1:26" customHeight="1" ht="36" hidden="true" outlineLevel="3">
      <c r="A4131" s="2" t="s">
        <v>7757</v>
      </c>
      <c r="B4131" s="3" t="s">
        <v>7758</v>
      </c>
      <c r="C4131" s="2"/>
      <c r="D4131" s="2" t="s">
        <v>16</v>
      </c>
      <c r="E4131" s="4">
        <f>35.24*(1-Z1%)</f>
        <v>35.24</v>
      </c>
      <c r="F4131" s="2">
        <v>24</v>
      </c>
      <c r="G4131" s="2"/>
    </row>
    <row r="4132" spans="1:26" customHeight="1" ht="36" hidden="true" outlineLevel="3">
      <c r="A4132" s="2" t="s">
        <v>7759</v>
      </c>
      <c r="B4132" s="3" t="s">
        <v>7760</v>
      </c>
      <c r="C4132" s="2"/>
      <c r="D4132" s="2" t="s">
        <v>16</v>
      </c>
      <c r="E4132" s="4">
        <f>35.24*(1-Z1%)</f>
        <v>35.24</v>
      </c>
      <c r="F4132" s="2">
        <v>120</v>
      </c>
      <c r="G4132" s="2"/>
    </row>
    <row r="4133" spans="1:26" customHeight="1" ht="36" hidden="true" outlineLevel="3">
      <c r="A4133" s="2" t="s">
        <v>7761</v>
      </c>
      <c r="B4133" s="3" t="s">
        <v>7762</v>
      </c>
      <c r="C4133" s="2"/>
      <c r="D4133" s="2" t="s">
        <v>16</v>
      </c>
      <c r="E4133" s="4">
        <f>43.30*(1-Z1%)</f>
        <v>43.3</v>
      </c>
      <c r="F4133" s="2">
        <v>96</v>
      </c>
      <c r="G4133" s="2"/>
    </row>
    <row r="4134" spans="1:26" customHeight="1" ht="18" hidden="true" outlineLevel="3">
      <c r="A4134" s="2" t="s">
        <v>7763</v>
      </c>
      <c r="B4134" s="3" t="s">
        <v>7764</v>
      </c>
      <c r="C4134" s="2"/>
      <c r="D4134" s="2" t="s">
        <v>16</v>
      </c>
      <c r="E4134" s="4">
        <f>26.40*(1-Z1%)</f>
        <v>26.4</v>
      </c>
      <c r="F4134" s="2">
        <v>72</v>
      </c>
      <c r="G4134" s="2"/>
    </row>
    <row r="4135" spans="1:26" customHeight="1" ht="18" hidden="true" outlineLevel="3">
      <c r="A4135" s="2" t="s">
        <v>7765</v>
      </c>
      <c r="B4135" s="3" t="s">
        <v>7766</v>
      </c>
      <c r="C4135" s="2"/>
      <c r="D4135" s="2" t="s">
        <v>16</v>
      </c>
      <c r="E4135" s="4">
        <f>30.85*(1-Z1%)</f>
        <v>30.85</v>
      </c>
      <c r="F4135" s="2">
        <v>114</v>
      </c>
      <c r="G4135" s="2"/>
    </row>
    <row r="4136" spans="1:26" customHeight="1" ht="18" hidden="true" outlineLevel="3">
      <c r="A4136" s="2" t="s">
        <v>7767</v>
      </c>
      <c r="B4136" s="3" t="s">
        <v>7768</v>
      </c>
      <c r="C4136" s="2"/>
      <c r="D4136" s="2" t="s">
        <v>16</v>
      </c>
      <c r="E4136" s="4">
        <f>23.54*(1-Z1%)</f>
        <v>23.54</v>
      </c>
      <c r="F4136" s="2">
        <v>126</v>
      </c>
      <c r="G4136" s="2"/>
    </row>
    <row r="4137" spans="1:26" customHeight="1" ht="18" hidden="true" outlineLevel="3">
      <c r="A4137" s="2" t="s">
        <v>7769</v>
      </c>
      <c r="B4137" s="3" t="s">
        <v>7770</v>
      </c>
      <c r="C4137" s="2"/>
      <c r="D4137" s="2" t="s">
        <v>16</v>
      </c>
      <c r="E4137" s="4">
        <f>23.11*(1-Z1%)</f>
        <v>23.11</v>
      </c>
      <c r="F4137" s="2">
        <v>96</v>
      </c>
      <c r="G4137" s="2"/>
    </row>
    <row r="4138" spans="1:26" customHeight="1" ht="36" hidden="true" outlineLevel="3">
      <c r="A4138" s="2" t="s">
        <v>7771</v>
      </c>
      <c r="B4138" s="3" t="s">
        <v>7772</v>
      </c>
      <c r="C4138" s="2"/>
      <c r="D4138" s="2" t="s">
        <v>16</v>
      </c>
      <c r="E4138" s="4">
        <f>20.73*(1-Z1%)</f>
        <v>20.73</v>
      </c>
      <c r="F4138" s="2">
        <v>12</v>
      </c>
      <c r="G4138" s="2"/>
    </row>
    <row r="4139" spans="1:26" customHeight="1" ht="18" hidden="true" outlineLevel="3">
      <c r="A4139" s="2" t="s">
        <v>7773</v>
      </c>
      <c r="B4139" s="3" t="s">
        <v>7774</v>
      </c>
      <c r="C4139" s="2"/>
      <c r="D4139" s="2" t="s">
        <v>16</v>
      </c>
      <c r="E4139" s="4">
        <f>17.77*(1-Z1%)</f>
        <v>17.77</v>
      </c>
      <c r="F4139" s="2">
        <v>72</v>
      </c>
      <c r="G4139" s="2"/>
    </row>
    <row r="4140" spans="1:26" customHeight="1" ht="18" hidden="true" outlineLevel="3">
      <c r="A4140" s="2" t="s">
        <v>7775</v>
      </c>
      <c r="B4140" s="3" t="s">
        <v>7776</v>
      </c>
      <c r="C4140" s="2"/>
      <c r="D4140" s="2" t="s">
        <v>16</v>
      </c>
      <c r="E4140" s="4">
        <f>22.50*(1-Z1%)</f>
        <v>22.5</v>
      </c>
      <c r="F4140" s="2">
        <v>72</v>
      </c>
      <c r="G4140" s="2"/>
    </row>
    <row r="4141" spans="1:26" customHeight="1" ht="35" hidden="true" outlineLevel="3">
      <c r="A4141" s="5" t="s">
        <v>7777</v>
      </c>
      <c r="B4141" s="5"/>
      <c r="C4141" s="5"/>
      <c r="D4141" s="5"/>
      <c r="E4141" s="5"/>
      <c r="F4141" s="5"/>
      <c r="G4141" s="5"/>
    </row>
    <row r="4142" spans="1:26" customHeight="1" ht="18" hidden="true" outlineLevel="3">
      <c r="A4142" s="2" t="s">
        <v>7778</v>
      </c>
      <c r="B4142" s="3" t="s">
        <v>7779</v>
      </c>
      <c r="C4142" s="2"/>
      <c r="D4142" s="2" t="s">
        <v>16</v>
      </c>
      <c r="E4142" s="4">
        <f>49.78*(1-Z1%)</f>
        <v>49.78</v>
      </c>
      <c r="F4142" s="2">
        <v>9</v>
      </c>
      <c r="G4142" s="2"/>
    </row>
    <row r="4143" spans="1:26" customHeight="1" ht="18" hidden="true" outlineLevel="3">
      <c r="A4143" s="2" t="s">
        <v>7780</v>
      </c>
      <c r="B4143" s="3" t="s">
        <v>7781</v>
      </c>
      <c r="C4143" s="2"/>
      <c r="D4143" s="2" t="s">
        <v>16</v>
      </c>
      <c r="E4143" s="4">
        <f>39.31*(1-Z1%)</f>
        <v>39.31</v>
      </c>
      <c r="F4143" s="2">
        <v>9</v>
      </c>
      <c r="G4143" s="2"/>
    </row>
    <row r="4144" spans="1:26" customHeight="1" ht="18" hidden="true" outlineLevel="3">
      <c r="A4144" s="2" t="s">
        <v>7782</v>
      </c>
      <c r="B4144" s="3" t="s">
        <v>7783</v>
      </c>
      <c r="C4144" s="2"/>
      <c r="D4144" s="2" t="s">
        <v>16</v>
      </c>
      <c r="E4144" s="4">
        <f>47.30*(1-Z1%)</f>
        <v>47.3</v>
      </c>
      <c r="F4144" s="2">
        <v>11</v>
      </c>
      <c r="G4144" s="2"/>
    </row>
    <row r="4145" spans="1:26" customHeight="1" ht="18" hidden="true" outlineLevel="3">
      <c r="A4145" s="2" t="s">
        <v>7784</v>
      </c>
      <c r="B4145" s="3" t="s">
        <v>7785</v>
      </c>
      <c r="C4145" s="2"/>
      <c r="D4145" s="2" t="s">
        <v>16</v>
      </c>
      <c r="E4145" s="4">
        <f>47.30*(1-Z1%)</f>
        <v>47.3</v>
      </c>
      <c r="F4145" s="2">
        <v>8</v>
      </c>
      <c r="G4145" s="2"/>
    </row>
    <row r="4146" spans="1:26" customHeight="1" ht="18" hidden="true" outlineLevel="3">
      <c r="A4146" s="2" t="s">
        <v>7786</v>
      </c>
      <c r="B4146" s="3" t="s">
        <v>7787</v>
      </c>
      <c r="C4146" s="2"/>
      <c r="D4146" s="2" t="s">
        <v>16</v>
      </c>
      <c r="E4146" s="4">
        <f>37.65*(1-Z1%)</f>
        <v>37.65</v>
      </c>
      <c r="F4146" s="2">
        <v>4</v>
      </c>
      <c r="G4146" s="2"/>
    </row>
    <row r="4147" spans="1:26" customHeight="1" ht="18" hidden="true" outlineLevel="3">
      <c r="A4147" s="2" t="s">
        <v>7788</v>
      </c>
      <c r="B4147" s="3" t="s">
        <v>7789</v>
      </c>
      <c r="C4147" s="2"/>
      <c r="D4147" s="2" t="s">
        <v>16</v>
      </c>
      <c r="E4147" s="4">
        <f>24.12*(1-Z1%)</f>
        <v>24.12</v>
      </c>
      <c r="F4147" s="2">
        <v>190</v>
      </c>
      <c r="G4147" s="2"/>
    </row>
    <row r="4148" spans="1:26" customHeight="1" ht="18" hidden="true" outlineLevel="3">
      <c r="A4148" s="2" t="s">
        <v>7790</v>
      </c>
      <c r="B4148" s="3" t="s">
        <v>7791</v>
      </c>
      <c r="C4148" s="2"/>
      <c r="D4148" s="2" t="s">
        <v>16</v>
      </c>
      <c r="E4148" s="4">
        <f>24.12*(1-Z1%)</f>
        <v>24.12</v>
      </c>
      <c r="F4148" s="2">
        <v>110</v>
      </c>
      <c r="G4148" s="2"/>
    </row>
    <row r="4149" spans="1:26" customHeight="1" ht="18" hidden="true" outlineLevel="3">
      <c r="A4149" s="2" t="s">
        <v>7792</v>
      </c>
      <c r="B4149" s="3" t="s">
        <v>7793</v>
      </c>
      <c r="C4149" s="2"/>
      <c r="D4149" s="2" t="s">
        <v>16</v>
      </c>
      <c r="E4149" s="4">
        <f>24.83*(1-Z1%)</f>
        <v>24.83</v>
      </c>
      <c r="F4149" s="2">
        <v>970</v>
      </c>
      <c r="G4149" s="2"/>
    </row>
    <row r="4150" spans="1:26" customHeight="1" ht="18" hidden="true" outlineLevel="3">
      <c r="A4150" s="2" t="s">
        <v>7794</v>
      </c>
      <c r="B4150" s="3" t="s">
        <v>7795</v>
      </c>
      <c r="C4150" s="2"/>
      <c r="D4150" s="2" t="s">
        <v>16</v>
      </c>
      <c r="E4150" s="4">
        <f>97.31*(1-Z1%)</f>
        <v>97.31</v>
      </c>
      <c r="F4150" s="2">
        <v>12</v>
      </c>
      <c r="G4150" s="2"/>
    </row>
    <row r="4151" spans="1:26" customHeight="1" ht="18" hidden="true" outlineLevel="3">
      <c r="A4151" s="2" t="s">
        <v>7796</v>
      </c>
      <c r="B4151" s="3" t="s">
        <v>7797</v>
      </c>
      <c r="C4151" s="2"/>
      <c r="D4151" s="2" t="s">
        <v>16</v>
      </c>
      <c r="E4151" s="4">
        <f>84.70*(1-Z1%)</f>
        <v>84.7</v>
      </c>
      <c r="F4151" s="2">
        <v>10</v>
      </c>
      <c r="G4151" s="2"/>
    </row>
    <row r="4152" spans="1:26" customHeight="1" ht="18" hidden="true" outlineLevel="3">
      <c r="A4152" s="2" t="s">
        <v>7798</v>
      </c>
      <c r="B4152" s="3" t="s">
        <v>7799</v>
      </c>
      <c r="C4152" s="2"/>
      <c r="D4152" s="2" t="s">
        <v>16</v>
      </c>
      <c r="E4152" s="4">
        <f>66.65*(1-Z1%)</f>
        <v>66.65</v>
      </c>
      <c r="F4152" s="2">
        <v>17</v>
      </c>
      <c r="G4152" s="2"/>
    </row>
    <row r="4153" spans="1:26" customHeight="1" ht="18" hidden="true" outlineLevel="3">
      <c r="A4153" s="2" t="s">
        <v>7800</v>
      </c>
      <c r="B4153" s="3" t="s">
        <v>7801</v>
      </c>
      <c r="C4153" s="2"/>
      <c r="D4153" s="2" t="s">
        <v>16</v>
      </c>
      <c r="E4153" s="4">
        <f>76.27*(1-Z1%)</f>
        <v>76.27</v>
      </c>
      <c r="F4153" s="2">
        <v>20</v>
      </c>
      <c r="G4153" s="2"/>
    </row>
    <row r="4154" spans="1:26" customHeight="1" ht="18" hidden="true" outlineLevel="3">
      <c r="A4154" s="2" t="s">
        <v>7802</v>
      </c>
      <c r="B4154" s="3" t="s">
        <v>7803</v>
      </c>
      <c r="C4154" s="2"/>
      <c r="D4154" s="2" t="s">
        <v>16</v>
      </c>
      <c r="E4154" s="4">
        <f>218.61*(1-Z1%)</f>
        <v>218.61</v>
      </c>
      <c r="F4154" s="2">
        <v>5</v>
      </c>
      <c r="G4154" s="2"/>
    </row>
    <row r="4155" spans="1:26" customHeight="1" ht="18" hidden="true" outlineLevel="3">
      <c r="A4155" s="2" t="s">
        <v>7804</v>
      </c>
      <c r="B4155" s="3" t="s">
        <v>7805</v>
      </c>
      <c r="C4155" s="2"/>
      <c r="D4155" s="2" t="s">
        <v>16</v>
      </c>
      <c r="E4155" s="4">
        <f>89.93*(1-Z1%)</f>
        <v>89.93</v>
      </c>
      <c r="F4155" s="2">
        <v>90</v>
      </c>
      <c r="G4155" s="2"/>
    </row>
    <row r="4156" spans="1:26" customHeight="1" ht="18" hidden="true" outlineLevel="3">
      <c r="A4156" s="2" t="s">
        <v>7806</v>
      </c>
      <c r="B4156" s="3" t="s">
        <v>7807</v>
      </c>
      <c r="C4156" s="2"/>
      <c r="D4156" s="2" t="s">
        <v>16</v>
      </c>
      <c r="E4156" s="4">
        <f>89.93*(1-Z1%)</f>
        <v>89.93</v>
      </c>
      <c r="F4156" s="2">
        <v>60</v>
      </c>
      <c r="G4156" s="2"/>
    </row>
    <row r="4157" spans="1:26" customHeight="1" ht="18" hidden="true" outlineLevel="3">
      <c r="A4157" s="2" t="s">
        <v>7808</v>
      </c>
      <c r="B4157" s="3" t="s">
        <v>7809</v>
      </c>
      <c r="C4157" s="2"/>
      <c r="D4157" s="2" t="s">
        <v>16</v>
      </c>
      <c r="E4157" s="4">
        <f>85.64*(1-Z1%)</f>
        <v>85.64</v>
      </c>
      <c r="F4157" s="2">
        <v>190</v>
      </c>
      <c r="G4157" s="2"/>
    </row>
    <row r="4158" spans="1:26" customHeight="1" ht="18" hidden="true" outlineLevel="3">
      <c r="A4158" s="2" t="s">
        <v>7810</v>
      </c>
      <c r="B4158" s="3" t="s">
        <v>7811</v>
      </c>
      <c r="C4158" s="2"/>
      <c r="D4158" s="2" t="s">
        <v>16</v>
      </c>
      <c r="E4158" s="4">
        <f>45.00*(1-Z1%)</f>
        <v>45</v>
      </c>
      <c r="F4158" s="2">
        <v>50</v>
      </c>
      <c r="G4158" s="2"/>
    </row>
    <row r="4159" spans="1:26" customHeight="1" ht="18" hidden="true" outlineLevel="3">
      <c r="A4159" s="2" t="s">
        <v>7812</v>
      </c>
      <c r="B4159" s="3" t="s">
        <v>7813</v>
      </c>
      <c r="C4159" s="2"/>
      <c r="D4159" s="2" t="s">
        <v>16</v>
      </c>
      <c r="E4159" s="4">
        <f>59.90*(1-Z1%)</f>
        <v>59.9</v>
      </c>
      <c r="F4159" s="2">
        <v>24</v>
      </c>
      <c r="G4159" s="2"/>
    </row>
    <row r="4160" spans="1:26" customHeight="1" ht="18" hidden="true" outlineLevel="3">
      <c r="A4160" s="2" t="s">
        <v>7814</v>
      </c>
      <c r="B4160" s="3" t="s">
        <v>7815</v>
      </c>
      <c r="C4160" s="2"/>
      <c r="D4160" s="2" t="s">
        <v>16</v>
      </c>
      <c r="E4160" s="4">
        <f>72.00*(1-Z1%)</f>
        <v>72</v>
      </c>
      <c r="F4160" s="2">
        <v>194</v>
      </c>
      <c r="G4160" s="2"/>
    </row>
    <row r="4161" spans="1:26" customHeight="1" ht="36" hidden="true" outlineLevel="3">
      <c r="A4161" s="2" t="s">
        <v>7816</v>
      </c>
      <c r="B4161" s="3" t="s">
        <v>7817</v>
      </c>
      <c r="C4161" s="2"/>
      <c r="D4161" s="2" t="s">
        <v>16</v>
      </c>
      <c r="E4161" s="4">
        <f>196.56*(1-Z1%)</f>
        <v>196.56</v>
      </c>
      <c r="F4161" s="2">
        <v>3</v>
      </c>
      <c r="G4161" s="2"/>
    </row>
    <row r="4162" spans="1:26" customHeight="1" ht="18" hidden="true" outlineLevel="3">
      <c r="A4162" s="2" t="s">
        <v>7818</v>
      </c>
      <c r="B4162" s="3" t="s">
        <v>7819</v>
      </c>
      <c r="C4162" s="2"/>
      <c r="D4162" s="2" t="s">
        <v>16</v>
      </c>
      <c r="E4162" s="4">
        <f>38.50*(1-Z1%)</f>
        <v>38.5</v>
      </c>
      <c r="F4162" s="2">
        <v>20</v>
      </c>
      <c r="G4162" s="2"/>
    </row>
    <row r="4163" spans="1:26" customHeight="1" ht="18" hidden="true" outlineLevel="3">
      <c r="A4163" s="2" t="s">
        <v>7820</v>
      </c>
      <c r="B4163" s="3" t="s">
        <v>7821</v>
      </c>
      <c r="C4163" s="2"/>
      <c r="D4163" s="2" t="s">
        <v>16</v>
      </c>
      <c r="E4163" s="4">
        <f>38.50*(1-Z1%)</f>
        <v>38.5</v>
      </c>
      <c r="F4163" s="2">
        <v>200</v>
      </c>
      <c r="G4163" s="2"/>
    </row>
    <row r="4164" spans="1:26" customHeight="1" ht="18" hidden="true" outlineLevel="3">
      <c r="A4164" s="2" t="s">
        <v>7822</v>
      </c>
      <c r="B4164" s="3" t="s">
        <v>7823</v>
      </c>
      <c r="C4164" s="2"/>
      <c r="D4164" s="2" t="s">
        <v>16</v>
      </c>
      <c r="E4164" s="4">
        <f>34.75*(1-Z1%)</f>
        <v>34.75</v>
      </c>
      <c r="F4164" s="2">
        <v>140</v>
      </c>
      <c r="G4164" s="2"/>
    </row>
    <row r="4165" spans="1:26" customHeight="1" ht="18" hidden="true" outlineLevel="3">
      <c r="A4165" s="2" t="s">
        <v>7824</v>
      </c>
      <c r="B4165" s="3" t="s">
        <v>7825</v>
      </c>
      <c r="C4165" s="2"/>
      <c r="D4165" s="2" t="s">
        <v>16</v>
      </c>
      <c r="E4165" s="4">
        <f>480.13*(1-Z1%)</f>
        <v>480.13</v>
      </c>
      <c r="F4165" s="2">
        <v>3</v>
      </c>
      <c r="G4165" s="2"/>
    </row>
    <row r="4166" spans="1:26" customHeight="1" ht="18" hidden="true" outlineLevel="3">
      <c r="A4166" s="2" t="s">
        <v>7826</v>
      </c>
      <c r="B4166" s="3" t="s">
        <v>7827</v>
      </c>
      <c r="C4166" s="2"/>
      <c r="D4166" s="2" t="s">
        <v>16</v>
      </c>
      <c r="E4166" s="4">
        <f>53.92*(1-Z1%)</f>
        <v>53.92</v>
      </c>
      <c r="F4166" s="2">
        <v>36</v>
      </c>
      <c r="G4166" s="2"/>
    </row>
    <row r="4167" spans="1:26" customHeight="1" ht="18" hidden="true" outlineLevel="3">
      <c r="A4167" s="2" t="s">
        <v>7828</v>
      </c>
      <c r="B4167" s="3" t="s">
        <v>7829</v>
      </c>
      <c r="C4167" s="2"/>
      <c r="D4167" s="2" t="s">
        <v>16</v>
      </c>
      <c r="E4167" s="4">
        <f>53.92*(1-Z1%)</f>
        <v>53.92</v>
      </c>
      <c r="F4167" s="2">
        <v>6</v>
      </c>
      <c r="G4167" s="2"/>
    </row>
    <row r="4168" spans="1:26" customHeight="1" ht="18" hidden="true" outlineLevel="3">
      <c r="A4168" s="2" t="s">
        <v>7830</v>
      </c>
      <c r="B4168" s="3" t="s">
        <v>7831</v>
      </c>
      <c r="C4168" s="2"/>
      <c r="D4168" s="2" t="s">
        <v>16</v>
      </c>
      <c r="E4168" s="4">
        <f>87.47*(1-Z1%)</f>
        <v>87.47</v>
      </c>
      <c r="F4168" s="2">
        <v>18</v>
      </c>
      <c r="G4168" s="2"/>
    </row>
    <row r="4169" spans="1:26" customHeight="1" ht="18" hidden="true" outlineLevel="3">
      <c r="A4169" s="2" t="s">
        <v>7832</v>
      </c>
      <c r="B4169" s="3" t="s">
        <v>7833</v>
      </c>
      <c r="C4169" s="2"/>
      <c r="D4169" s="2" t="s">
        <v>16</v>
      </c>
      <c r="E4169" s="4">
        <f>70.43*(1-Z1%)</f>
        <v>70.43</v>
      </c>
      <c r="F4169" s="2">
        <v>8</v>
      </c>
      <c r="G4169" s="2"/>
    </row>
    <row r="4170" spans="1:26" customHeight="1" ht="18" hidden="true" outlineLevel="3">
      <c r="A4170" s="2" t="s">
        <v>7834</v>
      </c>
      <c r="B4170" s="3" t="s">
        <v>7835</v>
      </c>
      <c r="C4170" s="2"/>
      <c r="D4170" s="2" t="s">
        <v>16</v>
      </c>
      <c r="E4170" s="4">
        <f>53.29*(1-Z1%)</f>
        <v>53.29</v>
      </c>
      <c r="F4170" s="2">
        <v>23</v>
      </c>
      <c r="G4170" s="2"/>
    </row>
    <row r="4171" spans="1:26" customHeight="1" ht="18" hidden="true" outlineLevel="3">
      <c r="A4171" s="2" t="s">
        <v>7836</v>
      </c>
      <c r="B4171" s="3" t="s">
        <v>7837</v>
      </c>
      <c r="C4171" s="2"/>
      <c r="D4171" s="2" t="s">
        <v>16</v>
      </c>
      <c r="E4171" s="4">
        <f>88.82*(1-Z1%)</f>
        <v>88.82</v>
      </c>
      <c r="F4171" s="2">
        <v>23</v>
      </c>
      <c r="G4171" s="2"/>
    </row>
    <row r="4172" spans="1:26" customHeight="1" ht="18" hidden="true" outlineLevel="3">
      <c r="A4172" s="2" t="s">
        <v>7838</v>
      </c>
      <c r="B4172" s="3" t="s">
        <v>7839</v>
      </c>
      <c r="C4172" s="2"/>
      <c r="D4172" s="2" t="s">
        <v>16</v>
      </c>
      <c r="E4172" s="4">
        <f>104.66*(1-Z1%)</f>
        <v>104.66</v>
      </c>
      <c r="F4172" s="2">
        <v>5</v>
      </c>
      <c r="G4172" s="2"/>
    </row>
    <row r="4173" spans="1:26" customHeight="1" ht="18" hidden="true" outlineLevel="3">
      <c r="A4173" s="2" t="s">
        <v>7840</v>
      </c>
      <c r="B4173" s="3" t="s">
        <v>7841</v>
      </c>
      <c r="C4173" s="2"/>
      <c r="D4173" s="2" t="s">
        <v>16</v>
      </c>
      <c r="E4173" s="4">
        <f>120.09*(1-Z1%)</f>
        <v>120.09</v>
      </c>
      <c r="F4173" s="2">
        <v>20</v>
      </c>
      <c r="G4173" s="2"/>
    </row>
    <row r="4174" spans="1:26" customHeight="1" ht="18" hidden="true" outlineLevel="3">
      <c r="A4174" s="2" t="s">
        <v>7842</v>
      </c>
      <c r="B4174" s="3" t="s">
        <v>7843</v>
      </c>
      <c r="C4174" s="2"/>
      <c r="D4174" s="2" t="s">
        <v>16</v>
      </c>
      <c r="E4174" s="4">
        <f>34.48*(1-Z1%)</f>
        <v>34.48</v>
      </c>
      <c r="F4174" s="2">
        <v>10</v>
      </c>
      <c r="G4174" s="2"/>
    </row>
    <row r="4175" spans="1:26" customHeight="1" ht="18" hidden="true" outlineLevel="3">
      <c r="A4175" s="2" t="s">
        <v>7844</v>
      </c>
      <c r="B4175" s="3" t="s">
        <v>7845</v>
      </c>
      <c r="C4175" s="2"/>
      <c r="D4175" s="2" t="s">
        <v>16</v>
      </c>
      <c r="E4175" s="4">
        <f>48.37*(1-Z1%)</f>
        <v>48.37</v>
      </c>
      <c r="F4175" s="2">
        <v>6</v>
      </c>
      <c r="G4175" s="2"/>
    </row>
    <row r="4176" spans="1:26" customHeight="1" ht="18" hidden="true" outlineLevel="3">
      <c r="A4176" s="2" t="s">
        <v>7846</v>
      </c>
      <c r="B4176" s="3" t="s">
        <v>7847</v>
      </c>
      <c r="C4176" s="2"/>
      <c r="D4176" s="2" t="s">
        <v>16</v>
      </c>
      <c r="E4176" s="4">
        <f>51.75*(1-Z1%)</f>
        <v>51.75</v>
      </c>
      <c r="F4176" s="2">
        <v>477</v>
      </c>
      <c r="G4176" s="2"/>
    </row>
    <row r="4177" spans="1:26" customHeight="1" ht="18" hidden="true" outlineLevel="3">
      <c r="A4177" s="2" t="s">
        <v>7848</v>
      </c>
      <c r="B4177" s="3" t="s">
        <v>7849</v>
      </c>
      <c r="C4177" s="2"/>
      <c r="D4177" s="2" t="s">
        <v>16</v>
      </c>
      <c r="E4177" s="4">
        <f>49.41*(1-Z1%)</f>
        <v>49.41</v>
      </c>
      <c r="F4177" s="2">
        <v>24</v>
      </c>
      <c r="G4177" s="2"/>
    </row>
    <row r="4178" spans="1:26" customHeight="1" ht="18" hidden="true" outlineLevel="3">
      <c r="A4178" s="2" t="s">
        <v>7850</v>
      </c>
      <c r="B4178" s="3" t="s">
        <v>7851</v>
      </c>
      <c r="C4178" s="2"/>
      <c r="D4178" s="2" t="s">
        <v>16</v>
      </c>
      <c r="E4178" s="4">
        <f>47.29*(1-Z1%)</f>
        <v>47.29</v>
      </c>
      <c r="F4178" s="2">
        <v>17</v>
      </c>
      <c r="G4178" s="2"/>
    </row>
    <row r="4179" spans="1:26" customHeight="1" ht="18" hidden="true" outlineLevel="3">
      <c r="A4179" s="2" t="s">
        <v>7852</v>
      </c>
      <c r="B4179" s="3" t="s">
        <v>7853</v>
      </c>
      <c r="C4179" s="2"/>
      <c r="D4179" s="2" t="s">
        <v>16</v>
      </c>
      <c r="E4179" s="4">
        <f>113.00*(1-Z1%)</f>
        <v>113</v>
      </c>
      <c r="F4179" s="2">
        <v>13</v>
      </c>
      <c r="G4179" s="2"/>
    </row>
    <row r="4180" spans="1:26" customHeight="1" ht="18" hidden="true" outlineLevel="3">
      <c r="A4180" s="2" t="s">
        <v>7854</v>
      </c>
      <c r="B4180" s="3" t="s">
        <v>7855</v>
      </c>
      <c r="C4180" s="2"/>
      <c r="D4180" s="2" t="s">
        <v>16</v>
      </c>
      <c r="E4180" s="4">
        <f>145.53*(1-Z1%)</f>
        <v>145.53</v>
      </c>
      <c r="F4180" s="2">
        <v>50</v>
      </c>
      <c r="G4180" s="2"/>
    </row>
    <row r="4181" spans="1:26" customHeight="1" ht="18" hidden="true" outlineLevel="3">
      <c r="A4181" s="2" t="s">
        <v>7856</v>
      </c>
      <c r="B4181" s="3" t="s">
        <v>7857</v>
      </c>
      <c r="C4181" s="2"/>
      <c r="D4181" s="2" t="s">
        <v>16</v>
      </c>
      <c r="E4181" s="4">
        <f>31.57*(1-Z1%)</f>
        <v>31.57</v>
      </c>
      <c r="F4181" s="2">
        <v>5</v>
      </c>
      <c r="G4181" s="2"/>
    </row>
    <row r="4182" spans="1:26" customHeight="1" ht="18" hidden="true" outlineLevel="3">
      <c r="A4182" s="2" t="s">
        <v>7858</v>
      </c>
      <c r="B4182" s="3" t="s">
        <v>7859</v>
      </c>
      <c r="C4182" s="2"/>
      <c r="D4182" s="2" t="s">
        <v>16</v>
      </c>
      <c r="E4182" s="4">
        <f>38.47*(1-Z1%)</f>
        <v>38.47</v>
      </c>
      <c r="F4182" s="2">
        <v>22</v>
      </c>
      <c r="G4182" s="2"/>
    </row>
    <row r="4183" spans="1:26" customHeight="1" ht="18" hidden="true" outlineLevel="3">
      <c r="A4183" s="2" t="s">
        <v>7860</v>
      </c>
      <c r="B4183" s="3" t="s">
        <v>7861</v>
      </c>
      <c r="C4183" s="2"/>
      <c r="D4183" s="2" t="s">
        <v>16</v>
      </c>
      <c r="E4183" s="4">
        <f>45.55*(1-Z1%)</f>
        <v>45.55</v>
      </c>
      <c r="F4183" s="2">
        <v>9</v>
      </c>
      <c r="G4183" s="2"/>
    </row>
    <row r="4184" spans="1:26" customHeight="1" ht="18" hidden="true" outlineLevel="3">
      <c r="A4184" s="2" t="s">
        <v>7862</v>
      </c>
      <c r="B4184" s="3" t="s">
        <v>7863</v>
      </c>
      <c r="C4184" s="2"/>
      <c r="D4184" s="2" t="s">
        <v>16</v>
      </c>
      <c r="E4184" s="4">
        <f>32.41*(1-Z1%)</f>
        <v>32.41</v>
      </c>
      <c r="F4184" s="2">
        <v>14</v>
      </c>
      <c r="G4184" s="2"/>
    </row>
    <row r="4185" spans="1:26" customHeight="1" ht="18" hidden="true" outlineLevel="3">
      <c r="A4185" s="2" t="s">
        <v>7864</v>
      </c>
      <c r="B4185" s="3" t="s">
        <v>7865</v>
      </c>
      <c r="C4185" s="2"/>
      <c r="D4185" s="2" t="s">
        <v>16</v>
      </c>
      <c r="E4185" s="4">
        <f>32.41*(1-Z1%)</f>
        <v>32.41</v>
      </c>
      <c r="F4185" s="2">
        <v>23</v>
      </c>
      <c r="G4185" s="2"/>
    </row>
    <row r="4186" spans="1:26" customHeight="1" ht="18" hidden="true" outlineLevel="3">
      <c r="A4186" s="2" t="s">
        <v>7866</v>
      </c>
      <c r="B4186" s="3" t="s">
        <v>7867</v>
      </c>
      <c r="C4186" s="2"/>
      <c r="D4186" s="2" t="s">
        <v>16</v>
      </c>
      <c r="E4186" s="4">
        <f>13.62*(1-Z1%)</f>
        <v>13.62</v>
      </c>
      <c r="F4186" s="2">
        <v>60</v>
      </c>
      <c r="G4186" s="2"/>
    </row>
    <row r="4187" spans="1:26" customHeight="1" ht="18" hidden="true" outlineLevel="3">
      <c r="A4187" s="2" t="s">
        <v>7868</v>
      </c>
      <c r="B4187" s="3" t="s">
        <v>7869</v>
      </c>
      <c r="C4187" s="2"/>
      <c r="D4187" s="2" t="s">
        <v>16</v>
      </c>
      <c r="E4187" s="4">
        <f>12.47*(1-Z1%)</f>
        <v>12.47</v>
      </c>
      <c r="F4187" s="2">
        <v>90</v>
      </c>
      <c r="G4187" s="2"/>
    </row>
    <row r="4188" spans="1:26" customHeight="1" ht="18" hidden="true" outlineLevel="3">
      <c r="A4188" s="2" t="s">
        <v>7870</v>
      </c>
      <c r="B4188" s="3" t="s">
        <v>7871</v>
      </c>
      <c r="C4188" s="2"/>
      <c r="D4188" s="2" t="s">
        <v>16</v>
      </c>
      <c r="E4188" s="4">
        <f>12.47*(1-Z1%)</f>
        <v>12.47</v>
      </c>
      <c r="F4188" s="2">
        <v>195</v>
      </c>
      <c r="G4188" s="2"/>
    </row>
    <row r="4189" spans="1:26" customHeight="1" ht="18" hidden="true" outlineLevel="3">
      <c r="A4189" s="2" t="s">
        <v>7872</v>
      </c>
      <c r="B4189" s="3" t="s">
        <v>7873</v>
      </c>
      <c r="C4189" s="2"/>
      <c r="D4189" s="2" t="s">
        <v>16</v>
      </c>
      <c r="E4189" s="4">
        <f>20.32*(1-Z1%)</f>
        <v>20.32</v>
      </c>
      <c r="F4189" s="2">
        <v>265</v>
      </c>
      <c r="G4189" s="2"/>
    </row>
    <row r="4190" spans="1:26" customHeight="1" ht="18" hidden="true" outlineLevel="3">
      <c r="A4190" s="2" t="s">
        <v>7874</v>
      </c>
      <c r="B4190" s="3" t="s">
        <v>7875</v>
      </c>
      <c r="C4190" s="2"/>
      <c r="D4190" s="2" t="s">
        <v>16</v>
      </c>
      <c r="E4190" s="4">
        <f>12.47*(1-Z1%)</f>
        <v>12.47</v>
      </c>
      <c r="F4190" s="2">
        <v>30</v>
      </c>
      <c r="G4190" s="2"/>
    </row>
    <row r="4191" spans="1:26" customHeight="1" ht="36" hidden="true" outlineLevel="3">
      <c r="A4191" s="2" t="s">
        <v>7876</v>
      </c>
      <c r="B4191" s="3" t="s">
        <v>7877</v>
      </c>
      <c r="C4191" s="2"/>
      <c r="D4191" s="2" t="s">
        <v>16</v>
      </c>
      <c r="E4191" s="4">
        <f>23.07*(1-Z1%)</f>
        <v>23.07</v>
      </c>
      <c r="F4191" s="2">
        <v>15</v>
      </c>
      <c r="G4191" s="2"/>
    </row>
    <row r="4192" spans="1:26" customHeight="1" ht="36" hidden="true" outlineLevel="3">
      <c r="A4192" s="2" t="s">
        <v>7878</v>
      </c>
      <c r="B4192" s="3" t="s">
        <v>7879</v>
      </c>
      <c r="C4192" s="2"/>
      <c r="D4192" s="2" t="s">
        <v>16</v>
      </c>
      <c r="E4192" s="4">
        <f>23.07*(1-Z1%)</f>
        <v>23.07</v>
      </c>
      <c r="F4192" s="2">
        <v>10</v>
      </c>
      <c r="G4192" s="2"/>
    </row>
    <row r="4193" spans="1:26" customHeight="1" ht="36" hidden="true" outlineLevel="3">
      <c r="A4193" s="2" t="s">
        <v>7880</v>
      </c>
      <c r="B4193" s="3" t="s">
        <v>7881</v>
      </c>
      <c r="C4193" s="2"/>
      <c r="D4193" s="2" t="s">
        <v>16</v>
      </c>
      <c r="E4193" s="4">
        <f>23.07*(1-Z1%)</f>
        <v>23.07</v>
      </c>
      <c r="F4193" s="2">
        <v>10</v>
      </c>
      <c r="G4193" s="2"/>
    </row>
    <row r="4194" spans="1:26" customHeight="1" ht="18" hidden="true" outlineLevel="3">
      <c r="A4194" s="2" t="s">
        <v>7882</v>
      </c>
      <c r="B4194" s="3" t="s">
        <v>7883</v>
      </c>
      <c r="C4194" s="2"/>
      <c r="D4194" s="2" t="s">
        <v>16</v>
      </c>
      <c r="E4194" s="4">
        <f>75.41*(1-Z1%)</f>
        <v>75.41</v>
      </c>
      <c r="F4194" s="2">
        <v>44</v>
      </c>
      <c r="G4194" s="2"/>
    </row>
    <row r="4195" spans="1:26" customHeight="1" ht="18" hidden="true" outlineLevel="3">
      <c r="A4195" s="2" t="s">
        <v>7884</v>
      </c>
      <c r="B4195" s="3" t="s">
        <v>7885</v>
      </c>
      <c r="C4195" s="2"/>
      <c r="D4195" s="2" t="s">
        <v>16</v>
      </c>
      <c r="E4195" s="4">
        <f>75.41*(1-Z1%)</f>
        <v>75.41</v>
      </c>
      <c r="F4195" s="2">
        <v>43</v>
      </c>
      <c r="G4195" s="2"/>
    </row>
    <row r="4196" spans="1:26" customHeight="1" ht="18" hidden="true" outlineLevel="3">
      <c r="A4196" s="2" t="s">
        <v>7886</v>
      </c>
      <c r="B4196" s="3" t="s">
        <v>7887</v>
      </c>
      <c r="C4196" s="2"/>
      <c r="D4196" s="2" t="s">
        <v>16</v>
      </c>
      <c r="E4196" s="4">
        <f>75.41*(1-Z1%)</f>
        <v>75.41</v>
      </c>
      <c r="F4196" s="2">
        <v>42</v>
      </c>
      <c r="G4196" s="2"/>
    </row>
    <row r="4197" spans="1:26" customHeight="1" ht="18" hidden="true" outlineLevel="3">
      <c r="A4197" s="2" t="s">
        <v>7888</v>
      </c>
      <c r="B4197" s="3" t="s">
        <v>7889</v>
      </c>
      <c r="C4197" s="2"/>
      <c r="D4197" s="2" t="s">
        <v>16</v>
      </c>
      <c r="E4197" s="4">
        <f>131.48*(1-Z1%)</f>
        <v>131.48</v>
      </c>
      <c r="F4197" s="2">
        <v>16</v>
      </c>
      <c r="G4197" s="2"/>
    </row>
    <row r="4198" spans="1:26" customHeight="1" ht="18" hidden="true" outlineLevel="3">
      <c r="A4198" s="2" t="s">
        <v>7890</v>
      </c>
      <c r="B4198" s="3" t="s">
        <v>7891</v>
      </c>
      <c r="C4198" s="2"/>
      <c r="D4198" s="2" t="s">
        <v>16</v>
      </c>
      <c r="E4198" s="4">
        <f>57.83*(1-Z1%)</f>
        <v>57.83</v>
      </c>
      <c r="F4198" s="2">
        <v>37</v>
      </c>
      <c r="G4198" s="2"/>
    </row>
    <row r="4199" spans="1:26" customHeight="1" ht="18" hidden="true" outlineLevel="3">
      <c r="A4199" s="2" t="s">
        <v>7892</v>
      </c>
      <c r="B4199" s="3" t="s">
        <v>7893</v>
      </c>
      <c r="C4199" s="2"/>
      <c r="D4199" s="2" t="s">
        <v>16</v>
      </c>
      <c r="E4199" s="4">
        <f>57.83*(1-Z1%)</f>
        <v>57.83</v>
      </c>
      <c r="F4199" s="2">
        <v>84</v>
      </c>
      <c r="G4199" s="2"/>
    </row>
    <row r="4200" spans="1:26" customHeight="1" ht="36" hidden="true" outlineLevel="3">
      <c r="A4200" s="2" t="s">
        <v>7894</v>
      </c>
      <c r="B4200" s="3" t="s">
        <v>7895</v>
      </c>
      <c r="C4200" s="2"/>
      <c r="D4200" s="2" t="s">
        <v>16</v>
      </c>
      <c r="E4200" s="4">
        <f>59.45*(1-Z1%)</f>
        <v>59.45</v>
      </c>
      <c r="F4200" s="2">
        <v>5</v>
      </c>
      <c r="G4200" s="2"/>
    </row>
    <row r="4201" spans="1:26" customHeight="1" ht="36" hidden="true" outlineLevel="3">
      <c r="A4201" s="2" t="s">
        <v>7896</v>
      </c>
      <c r="B4201" s="3" t="s">
        <v>7897</v>
      </c>
      <c r="C4201" s="2"/>
      <c r="D4201" s="2" t="s">
        <v>16</v>
      </c>
      <c r="E4201" s="4">
        <f>59.45*(1-Z1%)</f>
        <v>59.45</v>
      </c>
      <c r="F4201" s="2">
        <v>10</v>
      </c>
      <c r="G4201" s="2"/>
    </row>
    <row r="4202" spans="1:26" customHeight="1" ht="18" hidden="true" outlineLevel="3">
      <c r="A4202" s="2" t="s">
        <v>7898</v>
      </c>
      <c r="B4202" s="3" t="s">
        <v>7899</v>
      </c>
      <c r="C4202" s="2"/>
      <c r="D4202" s="2" t="s">
        <v>16</v>
      </c>
      <c r="E4202" s="4">
        <f>26.33*(1-Z1%)</f>
        <v>26.33</v>
      </c>
      <c r="F4202" s="2">
        <v>95</v>
      </c>
      <c r="G4202" s="2"/>
    </row>
    <row r="4203" spans="1:26" customHeight="1" ht="18" hidden="true" outlineLevel="3">
      <c r="A4203" s="2" t="s">
        <v>7900</v>
      </c>
      <c r="B4203" s="3" t="s">
        <v>7901</v>
      </c>
      <c r="C4203" s="2"/>
      <c r="D4203" s="2" t="s">
        <v>16</v>
      </c>
      <c r="E4203" s="4">
        <f>26.33*(1-Z1%)</f>
        <v>26.33</v>
      </c>
      <c r="F4203" s="2">
        <v>100</v>
      </c>
      <c r="G4203" s="2"/>
    </row>
    <row r="4204" spans="1:26" customHeight="1" ht="18" hidden="true" outlineLevel="3">
      <c r="A4204" s="2" t="s">
        <v>7902</v>
      </c>
      <c r="B4204" s="3" t="s">
        <v>7903</v>
      </c>
      <c r="C4204" s="2"/>
      <c r="D4204" s="2" t="s">
        <v>16</v>
      </c>
      <c r="E4204" s="4">
        <f>26.33*(1-Z1%)</f>
        <v>26.33</v>
      </c>
      <c r="F4204" s="2">
        <v>45</v>
      </c>
      <c r="G4204" s="2"/>
    </row>
    <row r="4205" spans="1:26" customHeight="1" ht="18" hidden="true" outlineLevel="3">
      <c r="A4205" s="2" t="s">
        <v>7904</v>
      </c>
      <c r="B4205" s="3" t="s">
        <v>7905</v>
      </c>
      <c r="C4205" s="2"/>
      <c r="D4205" s="2" t="s">
        <v>16</v>
      </c>
      <c r="E4205" s="4">
        <f>10.07*(1-Z1%)</f>
        <v>10.07</v>
      </c>
      <c r="F4205" s="2">
        <v>24</v>
      </c>
      <c r="G4205" s="2"/>
    </row>
    <row r="4206" spans="1:26" customHeight="1" ht="18" hidden="true" outlineLevel="3">
      <c r="A4206" s="2" t="s">
        <v>7906</v>
      </c>
      <c r="B4206" s="3" t="s">
        <v>7907</v>
      </c>
      <c r="C4206" s="2"/>
      <c r="D4206" s="2" t="s">
        <v>16</v>
      </c>
      <c r="E4206" s="4">
        <f>10.07*(1-Z1%)</f>
        <v>10.07</v>
      </c>
      <c r="F4206" s="2">
        <v>14</v>
      </c>
      <c r="G4206" s="2"/>
    </row>
    <row r="4207" spans="1:26" customHeight="1" ht="18" hidden="true" outlineLevel="3">
      <c r="A4207" s="2" t="s">
        <v>7908</v>
      </c>
      <c r="B4207" s="3" t="s">
        <v>7909</v>
      </c>
      <c r="C4207" s="2"/>
      <c r="D4207" s="2" t="s">
        <v>16</v>
      </c>
      <c r="E4207" s="4">
        <f>10.07*(1-Z1%)</f>
        <v>10.07</v>
      </c>
      <c r="F4207" s="2">
        <v>23</v>
      </c>
      <c r="G4207" s="2"/>
    </row>
    <row r="4208" spans="1:26" customHeight="1" ht="18" hidden="true" outlineLevel="3">
      <c r="A4208" s="2" t="s">
        <v>7910</v>
      </c>
      <c r="B4208" s="3" t="s">
        <v>7911</v>
      </c>
      <c r="C4208" s="2"/>
      <c r="D4208" s="2" t="s">
        <v>16</v>
      </c>
      <c r="E4208" s="4">
        <f>10.07*(1-Z1%)</f>
        <v>10.07</v>
      </c>
      <c r="F4208" s="2">
        <v>15</v>
      </c>
      <c r="G4208" s="2"/>
    </row>
    <row r="4209" spans="1:26" customHeight="1" ht="18" hidden="true" outlineLevel="3">
      <c r="A4209" s="2" t="s">
        <v>7912</v>
      </c>
      <c r="B4209" s="3" t="s">
        <v>7913</v>
      </c>
      <c r="C4209" s="2"/>
      <c r="D4209" s="2" t="s">
        <v>16</v>
      </c>
      <c r="E4209" s="4">
        <f>10.77*(1-Z1%)</f>
        <v>10.77</v>
      </c>
      <c r="F4209" s="2">
        <v>21</v>
      </c>
      <c r="G4209" s="2"/>
    </row>
    <row r="4210" spans="1:26" customHeight="1" ht="18" hidden="true" outlineLevel="3">
      <c r="A4210" s="2" t="s">
        <v>7914</v>
      </c>
      <c r="B4210" s="3" t="s">
        <v>7915</v>
      </c>
      <c r="C4210" s="2"/>
      <c r="D4210" s="2" t="s">
        <v>16</v>
      </c>
      <c r="E4210" s="4">
        <f>11.73*(1-Z1%)</f>
        <v>11.73</v>
      </c>
      <c r="F4210" s="2">
        <v>16</v>
      </c>
      <c r="G4210" s="2"/>
    </row>
    <row r="4211" spans="1:26" customHeight="1" ht="18" hidden="true" outlineLevel="3">
      <c r="A4211" s="2" t="s">
        <v>7916</v>
      </c>
      <c r="B4211" s="3" t="s">
        <v>7917</v>
      </c>
      <c r="C4211" s="2"/>
      <c r="D4211" s="2" t="s">
        <v>16</v>
      </c>
      <c r="E4211" s="4">
        <f>6.38*(1-Z1%)</f>
        <v>6.38</v>
      </c>
      <c r="F4211" s="2">
        <v>115</v>
      </c>
      <c r="G4211" s="2"/>
    </row>
    <row r="4212" spans="1:26" customHeight="1" ht="18" hidden="true" outlineLevel="3">
      <c r="A4212" s="2" t="s">
        <v>7918</v>
      </c>
      <c r="B4212" s="3" t="s">
        <v>7919</v>
      </c>
      <c r="C4212" s="2"/>
      <c r="D4212" s="2" t="s">
        <v>16</v>
      </c>
      <c r="E4212" s="4">
        <f>8.95*(1-Z1%)</f>
        <v>8.95</v>
      </c>
      <c r="F4212" s="2">
        <v>865</v>
      </c>
      <c r="G4212" s="2"/>
    </row>
    <row r="4213" spans="1:26" customHeight="1" ht="18" hidden="true" outlineLevel="3">
      <c r="A4213" s="2" t="s">
        <v>7920</v>
      </c>
      <c r="B4213" s="3" t="s">
        <v>7921</v>
      </c>
      <c r="C4213" s="2"/>
      <c r="D4213" s="2" t="s">
        <v>16</v>
      </c>
      <c r="E4213" s="4">
        <f>16.15*(1-Z1%)</f>
        <v>16.15</v>
      </c>
      <c r="F4213" s="2">
        <v>1058</v>
      </c>
      <c r="G4213" s="2"/>
    </row>
    <row r="4214" spans="1:26" customHeight="1" ht="18" hidden="true" outlineLevel="3">
      <c r="A4214" s="2" t="s">
        <v>7922</v>
      </c>
      <c r="B4214" s="3" t="s">
        <v>7923</v>
      </c>
      <c r="C4214" s="2"/>
      <c r="D4214" s="2" t="s">
        <v>16</v>
      </c>
      <c r="E4214" s="4">
        <f>10.02*(1-Z1%)</f>
        <v>10.02</v>
      </c>
      <c r="F4214" s="2">
        <v>1130</v>
      </c>
      <c r="G4214" s="2"/>
    </row>
    <row r="4215" spans="1:26" customHeight="1" ht="18" hidden="true" outlineLevel="3">
      <c r="A4215" s="2" t="s">
        <v>7924</v>
      </c>
      <c r="B4215" s="3" t="s">
        <v>7925</v>
      </c>
      <c r="C4215" s="2"/>
      <c r="D4215" s="2" t="s">
        <v>16</v>
      </c>
      <c r="E4215" s="4">
        <f>24.10*(1-Z1%)</f>
        <v>24.1</v>
      </c>
      <c r="F4215" s="2">
        <v>55</v>
      </c>
      <c r="G4215" s="2"/>
    </row>
    <row r="4216" spans="1:26" customHeight="1" ht="18" hidden="true" outlineLevel="3">
      <c r="A4216" s="2" t="s">
        <v>7926</v>
      </c>
      <c r="B4216" s="3" t="s">
        <v>7927</v>
      </c>
      <c r="C4216" s="2"/>
      <c r="D4216" s="2" t="s">
        <v>16</v>
      </c>
      <c r="E4216" s="4">
        <f>23.04*(1-Z1%)</f>
        <v>23.04</v>
      </c>
      <c r="F4216" s="2">
        <v>60</v>
      </c>
      <c r="G4216" s="2"/>
    </row>
    <row r="4217" spans="1:26" customHeight="1" ht="18" hidden="true" outlineLevel="3">
      <c r="A4217" s="2" t="s">
        <v>7928</v>
      </c>
      <c r="B4217" s="3" t="s">
        <v>7929</v>
      </c>
      <c r="C4217" s="2"/>
      <c r="D4217" s="2" t="s">
        <v>16</v>
      </c>
      <c r="E4217" s="4">
        <f>474.82*(1-Z1%)</f>
        <v>474.82</v>
      </c>
      <c r="F4217" s="2">
        <v>2</v>
      </c>
      <c r="G4217" s="2"/>
    </row>
    <row r="4218" spans="1:26" customHeight="1" ht="18" hidden="true" outlineLevel="3">
      <c r="A4218" s="2" t="s">
        <v>7930</v>
      </c>
      <c r="B4218" s="3" t="s">
        <v>7931</v>
      </c>
      <c r="C4218" s="2"/>
      <c r="D4218" s="2" t="s">
        <v>16</v>
      </c>
      <c r="E4218" s="4">
        <f>66.16*(1-Z1%)</f>
        <v>66.16</v>
      </c>
      <c r="F4218" s="2">
        <v>278</v>
      </c>
      <c r="G4218" s="2"/>
    </row>
    <row r="4219" spans="1:26" customHeight="1" ht="18" hidden="true" outlineLevel="3">
      <c r="A4219" s="2" t="s">
        <v>7932</v>
      </c>
      <c r="B4219" s="3" t="s">
        <v>7933</v>
      </c>
      <c r="C4219" s="2"/>
      <c r="D4219" s="2" t="s">
        <v>16</v>
      </c>
      <c r="E4219" s="4">
        <f>66.16*(1-Z1%)</f>
        <v>66.16</v>
      </c>
      <c r="F4219" s="2">
        <v>255</v>
      </c>
      <c r="G4219" s="2"/>
    </row>
    <row r="4220" spans="1:26" customHeight="1" ht="18" hidden="true" outlineLevel="3">
      <c r="A4220" s="2" t="s">
        <v>7934</v>
      </c>
      <c r="B4220" s="3" t="s">
        <v>7935</v>
      </c>
      <c r="C4220" s="2"/>
      <c r="D4220" s="2" t="s">
        <v>16</v>
      </c>
      <c r="E4220" s="4">
        <f>69.75*(1-Z1%)</f>
        <v>69.75</v>
      </c>
      <c r="F4220" s="2">
        <v>527</v>
      </c>
      <c r="G4220" s="2"/>
    </row>
    <row r="4221" spans="1:26" customHeight="1" ht="35" hidden="true" outlineLevel="3">
      <c r="A4221" s="5" t="s">
        <v>7936</v>
      </c>
      <c r="B4221" s="5"/>
      <c r="C4221" s="5"/>
      <c r="D4221" s="5"/>
      <c r="E4221" s="5"/>
      <c r="F4221" s="5"/>
      <c r="G4221" s="5"/>
    </row>
    <row r="4222" spans="1:26" customHeight="1" ht="35" hidden="true" outlineLevel="4">
      <c r="A4222" s="5" t="s">
        <v>7937</v>
      </c>
      <c r="B4222" s="5"/>
      <c r="C4222" s="5"/>
      <c r="D4222" s="5"/>
      <c r="E4222" s="5"/>
      <c r="F4222" s="5"/>
      <c r="G4222" s="5"/>
    </row>
    <row r="4223" spans="1:26" customHeight="1" ht="36" hidden="true" outlineLevel="4">
      <c r="A4223" s="2" t="s">
        <v>7938</v>
      </c>
      <c r="B4223" s="3" t="s">
        <v>7939</v>
      </c>
      <c r="C4223" s="2"/>
      <c r="D4223" s="2" t="s">
        <v>16</v>
      </c>
      <c r="E4223" s="4">
        <f>15.02*(1-Z1%)</f>
        <v>15.02</v>
      </c>
      <c r="F4223" s="2">
        <v>270</v>
      </c>
      <c r="G4223" s="2"/>
    </row>
    <row r="4224" spans="1:26" customHeight="1" ht="36" hidden="true" outlineLevel="4">
      <c r="A4224" s="2" t="s">
        <v>7940</v>
      </c>
      <c r="B4224" s="3" t="s">
        <v>7941</v>
      </c>
      <c r="C4224" s="2"/>
      <c r="D4224" s="2" t="s">
        <v>16</v>
      </c>
      <c r="E4224" s="4">
        <f>5.67*(1-Z1%)</f>
        <v>5.67</v>
      </c>
      <c r="F4224" s="2">
        <v>90</v>
      </c>
      <c r="G4224" s="2"/>
    </row>
    <row r="4225" spans="1:26" customHeight="1" ht="36" hidden="true" outlineLevel="4">
      <c r="A4225" s="2" t="s">
        <v>7942</v>
      </c>
      <c r="B4225" s="3" t="s">
        <v>7943</v>
      </c>
      <c r="C4225" s="2"/>
      <c r="D4225" s="2" t="s">
        <v>16</v>
      </c>
      <c r="E4225" s="4">
        <f>11.28*(1-Z1%)</f>
        <v>11.28</v>
      </c>
      <c r="F4225" s="2">
        <v>250</v>
      </c>
      <c r="G4225" s="2"/>
    </row>
    <row r="4226" spans="1:26" customHeight="1" ht="36" hidden="true" outlineLevel="4">
      <c r="A4226" s="2" t="s">
        <v>7944</v>
      </c>
      <c r="B4226" s="3" t="s">
        <v>7945</v>
      </c>
      <c r="C4226" s="2"/>
      <c r="D4226" s="2" t="s">
        <v>16</v>
      </c>
      <c r="E4226" s="4">
        <f>5.62*(1-Z1%)</f>
        <v>5.62</v>
      </c>
      <c r="F4226" s="2">
        <v>110</v>
      </c>
      <c r="G4226" s="2"/>
    </row>
    <row r="4227" spans="1:26" customHeight="1" ht="36" hidden="true" outlineLevel="4">
      <c r="A4227" s="2" t="s">
        <v>7946</v>
      </c>
      <c r="B4227" s="3" t="s">
        <v>7947</v>
      </c>
      <c r="C4227" s="2"/>
      <c r="D4227" s="2" t="s">
        <v>16</v>
      </c>
      <c r="E4227" s="4">
        <f>6.49*(1-Z1%)</f>
        <v>6.49</v>
      </c>
      <c r="F4227" s="2">
        <v>470</v>
      </c>
      <c r="G4227" s="2"/>
    </row>
    <row r="4228" spans="1:26" customHeight="1" ht="36" hidden="true" outlineLevel="4">
      <c r="A4228" s="2" t="s">
        <v>7948</v>
      </c>
      <c r="B4228" s="3" t="s">
        <v>7949</v>
      </c>
      <c r="C4228" s="2"/>
      <c r="D4228" s="2" t="s">
        <v>16</v>
      </c>
      <c r="E4228" s="4">
        <f>14.65*(1-Z1%)</f>
        <v>14.65</v>
      </c>
      <c r="F4228" s="2">
        <v>300</v>
      </c>
      <c r="G4228" s="2"/>
    </row>
    <row r="4229" spans="1:26" customHeight="1" ht="36" hidden="true" outlineLevel="4">
      <c r="A4229" s="2" t="s">
        <v>7950</v>
      </c>
      <c r="B4229" s="3" t="s">
        <v>7951</v>
      </c>
      <c r="C4229" s="2"/>
      <c r="D4229" s="2" t="s">
        <v>16</v>
      </c>
      <c r="E4229" s="4">
        <f>14.67*(1-Z1%)</f>
        <v>14.67</v>
      </c>
      <c r="F4229" s="2">
        <v>160</v>
      </c>
      <c r="G4229" s="2"/>
    </row>
    <row r="4230" spans="1:26" customHeight="1" ht="36" hidden="true" outlineLevel="4">
      <c r="A4230" s="2" t="s">
        <v>7952</v>
      </c>
      <c r="B4230" s="3" t="s">
        <v>7953</v>
      </c>
      <c r="C4230" s="2"/>
      <c r="D4230" s="2" t="s">
        <v>16</v>
      </c>
      <c r="E4230" s="4">
        <f>10.36*(1-Z1%)</f>
        <v>10.36</v>
      </c>
      <c r="F4230" s="2">
        <v>150</v>
      </c>
      <c r="G4230" s="2"/>
    </row>
    <row r="4231" spans="1:26" customHeight="1" ht="36" hidden="true" outlineLevel="4">
      <c r="A4231" s="2" t="s">
        <v>7954</v>
      </c>
      <c r="B4231" s="3" t="s">
        <v>7955</v>
      </c>
      <c r="C4231" s="2"/>
      <c r="D4231" s="2" t="s">
        <v>16</v>
      </c>
      <c r="E4231" s="4">
        <f>15.35*(1-Z1%)</f>
        <v>15.35</v>
      </c>
      <c r="F4231" s="2">
        <v>280</v>
      </c>
      <c r="G4231" s="2"/>
    </row>
    <row r="4232" spans="1:26" customHeight="1" ht="36" hidden="true" outlineLevel="4">
      <c r="A4232" s="2" t="s">
        <v>7956</v>
      </c>
      <c r="B4232" s="3" t="s">
        <v>7957</v>
      </c>
      <c r="C4232" s="2"/>
      <c r="D4232" s="2" t="s">
        <v>16</v>
      </c>
      <c r="E4232" s="4">
        <f>12.92*(1-Z1%)</f>
        <v>12.92</v>
      </c>
      <c r="F4232" s="2">
        <v>100</v>
      </c>
      <c r="G4232" s="2"/>
    </row>
    <row r="4233" spans="1:26" customHeight="1" ht="36" hidden="true" outlineLevel="4">
      <c r="A4233" s="2" t="s">
        <v>7958</v>
      </c>
      <c r="B4233" s="3" t="s">
        <v>7959</v>
      </c>
      <c r="C4233" s="2"/>
      <c r="D4233" s="2" t="s">
        <v>16</v>
      </c>
      <c r="E4233" s="4">
        <f>6.17*(1-Z1%)</f>
        <v>6.17</v>
      </c>
      <c r="F4233" s="2">
        <v>210</v>
      </c>
      <c r="G4233" s="2"/>
    </row>
    <row r="4234" spans="1:26" customHeight="1" ht="36" hidden="true" outlineLevel="4">
      <c r="A4234" s="2" t="s">
        <v>7960</v>
      </c>
      <c r="B4234" s="3" t="s">
        <v>7961</v>
      </c>
      <c r="C4234" s="2"/>
      <c r="D4234" s="2" t="s">
        <v>16</v>
      </c>
      <c r="E4234" s="4">
        <f>12.92*(1-Z1%)</f>
        <v>12.92</v>
      </c>
      <c r="F4234" s="2">
        <v>130</v>
      </c>
      <c r="G4234" s="2"/>
    </row>
    <row r="4235" spans="1:26" customHeight="1" ht="36" hidden="true" outlineLevel="4">
      <c r="A4235" s="2" t="s">
        <v>7962</v>
      </c>
      <c r="B4235" s="3" t="s">
        <v>7963</v>
      </c>
      <c r="C4235" s="2"/>
      <c r="D4235" s="2" t="s">
        <v>16</v>
      </c>
      <c r="E4235" s="4">
        <f>12.92*(1-Z1%)</f>
        <v>12.92</v>
      </c>
      <c r="F4235" s="2">
        <v>70</v>
      </c>
      <c r="G4235" s="2"/>
    </row>
    <row r="4236" spans="1:26" customHeight="1" ht="36" hidden="true" outlineLevel="4">
      <c r="A4236" s="2" t="s">
        <v>7964</v>
      </c>
      <c r="B4236" s="3" t="s">
        <v>7965</v>
      </c>
      <c r="C4236" s="2"/>
      <c r="D4236" s="2" t="s">
        <v>16</v>
      </c>
      <c r="E4236" s="4">
        <f>6.51*(1-Z1%)</f>
        <v>6.51</v>
      </c>
      <c r="F4236" s="2">
        <v>350</v>
      </c>
      <c r="G4236" s="2"/>
    </row>
    <row r="4237" spans="1:26" customHeight="1" ht="18" hidden="true" outlineLevel="4">
      <c r="A4237" s="2" t="s">
        <v>7966</v>
      </c>
      <c r="B4237" s="3" t="s">
        <v>7967</v>
      </c>
      <c r="C4237" s="2"/>
      <c r="D4237" s="2" t="s">
        <v>16</v>
      </c>
      <c r="E4237" s="4">
        <f>3.21*(1-Z1%)</f>
        <v>3.21</v>
      </c>
      <c r="F4237" s="2">
        <v>160</v>
      </c>
      <c r="G4237" s="2"/>
    </row>
    <row r="4238" spans="1:26" customHeight="1" ht="18" hidden="true" outlineLevel="4">
      <c r="A4238" s="2" t="s">
        <v>7968</v>
      </c>
      <c r="B4238" s="3" t="s">
        <v>7969</v>
      </c>
      <c r="C4238" s="2"/>
      <c r="D4238" s="2" t="s">
        <v>16</v>
      </c>
      <c r="E4238" s="4">
        <f>36.62*(1-Z1%)</f>
        <v>36.62</v>
      </c>
      <c r="F4238" s="2">
        <v>130</v>
      </c>
      <c r="G4238" s="2"/>
    </row>
    <row r="4239" spans="1:26" customHeight="1" ht="18" hidden="true" outlineLevel="4">
      <c r="A4239" s="2" t="s">
        <v>7970</v>
      </c>
      <c r="B4239" s="3" t="s">
        <v>7971</v>
      </c>
      <c r="C4239" s="2"/>
      <c r="D4239" s="2" t="s">
        <v>16</v>
      </c>
      <c r="E4239" s="4">
        <f>9.85*(1-Z1%)</f>
        <v>9.85</v>
      </c>
      <c r="F4239" s="2">
        <v>30</v>
      </c>
      <c r="G4239" s="2"/>
    </row>
    <row r="4240" spans="1:26" customHeight="1" ht="18" hidden="true" outlineLevel="4">
      <c r="A4240" s="2" t="s">
        <v>7972</v>
      </c>
      <c r="B4240" s="3" t="s">
        <v>7973</v>
      </c>
      <c r="C4240" s="2"/>
      <c r="D4240" s="2" t="s">
        <v>16</v>
      </c>
      <c r="E4240" s="4">
        <f>9.94*(1-Z1%)</f>
        <v>9.94</v>
      </c>
      <c r="F4240" s="2">
        <v>130</v>
      </c>
      <c r="G4240" s="2"/>
    </row>
    <row r="4241" spans="1:26" customHeight="1" ht="18" hidden="true" outlineLevel="4">
      <c r="A4241" s="2" t="s">
        <v>7974</v>
      </c>
      <c r="B4241" s="3" t="s">
        <v>7975</v>
      </c>
      <c r="C4241" s="2"/>
      <c r="D4241" s="2" t="s">
        <v>16</v>
      </c>
      <c r="E4241" s="4">
        <f>12.41*(1-Z1%)</f>
        <v>12.41</v>
      </c>
      <c r="F4241" s="2">
        <v>70</v>
      </c>
      <c r="G4241" s="2"/>
    </row>
    <row r="4242" spans="1:26" customHeight="1" ht="18" hidden="true" outlineLevel="4">
      <c r="A4242" s="2" t="s">
        <v>7976</v>
      </c>
      <c r="B4242" s="3" t="s">
        <v>7977</v>
      </c>
      <c r="C4242" s="2"/>
      <c r="D4242" s="2" t="s">
        <v>16</v>
      </c>
      <c r="E4242" s="4">
        <f>9.83*(1-Z1%)</f>
        <v>9.83</v>
      </c>
      <c r="F4242" s="2">
        <v>50</v>
      </c>
      <c r="G4242" s="2"/>
    </row>
    <row r="4243" spans="1:26" customHeight="1" ht="18" hidden="true" outlineLevel="4">
      <c r="A4243" s="2" t="s">
        <v>7978</v>
      </c>
      <c r="B4243" s="3" t="s">
        <v>7979</v>
      </c>
      <c r="C4243" s="2"/>
      <c r="D4243" s="2" t="s">
        <v>16</v>
      </c>
      <c r="E4243" s="4">
        <f>5.36*(1-Z1%)</f>
        <v>5.36</v>
      </c>
      <c r="F4243" s="2">
        <v>35</v>
      </c>
      <c r="G4243" s="2"/>
    </row>
    <row r="4244" spans="1:26" customHeight="1" ht="18" hidden="true" outlineLevel="4">
      <c r="A4244" s="2" t="s">
        <v>7980</v>
      </c>
      <c r="B4244" s="3" t="s">
        <v>7981</v>
      </c>
      <c r="C4244" s="2"/>
      <c r="D4244" s="2" t="s">
        <v>16</v>
      </c>
      <c r="E4244" s="4">
        <f>12.31*(1-Z1%)</f>
        <v>12.31</v>
      </c>
      <c r="F4244" s="2">
        <v>90</v>
      </c>
      <c r="G4244" s="2"/>
    </row>
    <row r="4245" spans="1:26" customHeight="1" ht="18" hidden="true" outlineLevel="4">
      <c r="A4245" s="2" t="s">
        <v>7982</v>
      </c>
      <c r="B4245" s="3" t="s">
        <v>7983</v>
      </c>
      <c r="C4245" s="2"/>
      <c r="D4245" s="2" t="s">
        <v>16</v>
      </c>
      <c r="E4245" s="4">
        <f>2.93*(1-Z1%)</f>
        <v>2.93</v>
      </c>
      <c r="F4245" s="2">
        <v>55</v>
      </c>
      <c r="G4245" s="2"/>
    </row>
    <row r="4246" spans="1:26" customHeight="1" ht="18" hidden="true" outlineLevel="4">
      <c r="A4246" s="2" t="s">
        <v>7984</v>
      </c>
      <c r="B4246" s="3" t="s">
        <v>7985</v>
      </c>
      <c r="C4246" s="2"/>
      <c r="D4246" s="2" t="s">
        <v>16</v>
      </c>
      <c r="E4246" s="4">
        <f>2.93*(1-Z1%)</f>
        <v>2.93</v>
      </c>
      <c r="F4246" s="2">
        <v>135</v>
      </c>
      <c r="G4246" s="2"/>
    </row>
    <row r="4247" spans="1:26" customHeight="1" ht="18" hidden="true" outlineLevel="4">
      <c r="A4247" s="2" t="s">
        <v>7986</v>
      </c>
      <c r="B4247" s="3" t="s">
        <v>7987</v>
      </c>
      <c r="C4247" s="2"/>
      <c r="D4247" s="2" t="s">
        <v>16</v>
      </c>
      <c r="E4247" s="4">
        <f>5.67*(1-Z1%)</f>
        <v>5.67</v>
      </c>
      <c r="F4247" s="2">
        <v>170</v>
      </c>
      <c r="G4247" s="2"/>
    </row>
    <row r="4248" spans="1:26" customHeight="1" ht="18" hidden="true" outlineLevel="4">
      <c r="A4248" s="2" t="s">
        <v>7988</v>
      </c>
      <c r="B4248" s="3" t="s">
        <v>7989</v>
      </c>
      <c r="C4248" s="2"/>
      <c r="D4248" s="2" t="s">
        <v>16</v>
      </c>
      <c r="E4248" s="4">
        <f>11.01*(1-Z1%)</f>
        <v>11.01</v>
      </c>
      <c r="F4248" s="2">
        <v>30</v>
      </c>
      <c r="G4248" s="2"/>
    </row>
    <row r="4249" spans="1:26" customHeight="1" ht="18" hidden="true" outlineLevel="4">
      <c r="A4249" s="2" t="s">
        <v>7990</v>
      </c>
      <c r="B4249" s="3" t="s">
        <v>7991</v>
      </c>
      <c r="C4249" s="2"/>
      <c r="D4249" s="2" t="s">
        <v>16</v>
      </c>
      <c r="E4249" s="4">
        <f>12.01*(1-Z1%)</f>
        <v>12.01</v>
      </c>
      <c r="F4249" s="2">
        <v>70</v>
      </c>
      <c r="G4249" s="2"/>
    </row>
    <row r="4250" spans="1:26" customHeight="1" ht="18" hidden="true" outlineLevel="4">
      <c r="A4250" s="2" t="s">
        <v>7992</v>
      </c>
      <c r="B4250" s="3" t="s">
        <v>7993</v>
      </c>
      <c r="C4250" s="2"/>
      <c r="D4250" s="2" t="s">
        <v>16</v>
      </c>
      <c r="E4250" s="4">
        <f>15.68*(1-Z1%)</f>
        <v>15.68</v>
      </c>
      <c r="F4250" s="2">
        <v>100</v>
      </c>
      <c r="G4250" s="2"/>
    </row>
    <row r="4251" spans="1:26" customHeight="1" ht="18" hidden="true" outlineLevel="4">
      <c r="A4251" s="2" t="s">
        <v>7994</v>
      </c>
      <c r="B4251" s="3" t="s">
        <v>7995</v>
      </c>
      <c r="C4251" s="2"/>
      <c r="D4251" s="2" t="s">
        <v>16</v>
      </c>
      <c r="E4251" s="4">
        <f>11.21*(1-Z1%)</f>
        <v>11.21</v>
      </c>
      <c r="F4251" s="2">
        <v>100</v>
      </c>
      <c r="G4251" s="2"/>
    </row>
    <row r="4252" spans="1:26" customHeight="1" ht="18" hidden="true" outlineLevel="4">
      <c r="A4252" s="2" t="s">
        <v>7996</v>
      </c>
      <c r="B4252" s="3" t="s">
        <v>7997</v>
      </c>
      <c r="C4252" s="2"/>
      <c r="D4252" s="2" t="s">
        <v>16</v>
      </c>
      <c r="E4252" s="4">
        <f>10.82*(1-Z1%)</f>
        <v>10.82</v>
      </c>
      <c r="F4252" s="2">
        <v>200</v>
      </c>
      <c r="G4252" s="2"/>
    </row>
    <row r="4253" spans="1:26" customHeight="1" ht="18" hidden="true" outlineLevel="4">
      <c r="A4253" s="2" t="s">
        <v>7998</v>
      </c>
      <c r="B4253" s="3" t="s">
        <v>7999</v>
      </c>
      <c r="C4253" s="2"/>
      <c r="D4253" s="2" t="s">
        <v>16</v>
      </c>
      <c r="E4253" s="4">
        <f>6.65*(1-Z1%)</f>
        <v>6.65</v>
      </c>
      <c r="F4253" s="2">
        <v>3</v>
      </c>
      <c r="G4253" s="2"/>
    </row>
    <row r="4254" spans="1:26" customHeight="1" ht="18" hidden="true" outlineLevel="4">
      <c r="A4254" s="2" t="s">
        <v>8000</v>
      </c>
      <c r="B4254" s="3" t="s">
        <v>8001</v>
      </c>
      <c r="C4254" s="2"/>
      <c r="D4254" s="2" t="s">
        <v>16</v>
      </c>
      <c r="E4254" s="4">
        <f>6.35*(1-Z1%)</f>
        <v>6.35</v>
      </c>
      <c r="F4254" s="2">
        <v>40</v>
      </c>
      <c r="G4254" s="2"/>
    </row>
    <row r="4255" spans="1:26" customHeight="1" ht="18" hidden="true" outlineLevel="4">
      <c r="A4255" s="2" t="s">
        <v>8002</v>
      </c>
      <c r="B4255" s="3" t="s">
        <v>8003</v>
      </c>
      <c r="C4255" s="2"/>
      <c r="D4255" s="2" t="s">
        <v>16</v>
      </c>
      <c r="E4255" s="4">
        <f>5.21*(1-Z1%)</f>
        <v>5.21</v>
      </c>
      <c r="F4255" s="2">
        <v>40</v>
      </c>
      <c r="G4255" s="2"/>
    </row>
    <row r="4256" spans="1:26" customHeight="1" ht="18" hidden="true" outlineLevel="4">
      <c r="A4256" s="2" t="s">
        <v>8004</v>
      </c>
      <c r="B4256" s="3" t="s">
        <v>8005</v>
      </c>
      <c r="C4256" s="2"/>
      <c r="D4256" s="2" t="s">
        <v>16</v>
      </c>
      <c r="E4256" s="4">
        <f>2.89*(1-Z1%)</f>
        <v>2.89</v>
      </c>
      <c r="F4256" s="2">
        <v>110</v>
      </c>
      <c r="G4256" s="2"/>
    </row>
    <row r="4257" spans="1:26" customHeight="1" ht="18" hidden="true" outlineLevel="4">
      <c r="A4257" s="2" t="s">
        <v>8006</v>
      </c>
      <c r="B4257" s="3" t="s">
        <v>8007</v>
      </c>
      <c r="C4257" s="2"/>
      <c r="D4257" s="2" t="s">
        <v>16</v>
      </c>
      <c r="E4257" s="4">
        <f>4.84*(1-Z1%)</f>
        <v>4.84</v>
      </c>
      <c r="F4257" s="2">
        <v>160</v>
      </c>
      <c r="G4257" s="2"/>
    </row>
    <row r="4258" spans="1:26" customHeight="1" ht="18" hidden="true" outlineLevel="4">
      <c r="A4258" s="2" t="s">
        <v>8008</v>
      </c>
      <c r="B4258" s="3" t="s">
        <v>8009</v>
      </c>
      <c r="C4258" s="2"/>
      <c r="D4258" s="2" t="s">
        <v>16</v>
      </c>
      <c r="E4258" s="4">
        <f>4.86*(1-Z1%)</f>
        <v>4.86</v>
      </c>
      <c r="F4258" s="2">
        <v>30</v>
      </c>
      <c r="G4258" s="2"/>
    </row>
    <row r="4259" spans="1:26" customHeight="1" ht="18" hidden="true" outlineLevel="4">
      <c r="A4259" s="2" t="s">
        <v>8010</v>
      </c>
      <c r="B4259" s="3" t="s">
        <v>8011</v>
      </c>
      <c r="C4259" s="2"/>
      <c r="D4259" s="2" t="s">
        <v>16</v>
      </c>
      <c r="E4259" s="4">
        <f>5.09*(1-Z1%)</f>
        <v>5.09</v>
      </c>
      <c r="F4259" s="2">
        <v>110</v>
      </c>
      <c r="G4259" s="2"/>
    </row>
    <row r="4260" spans="1:26" customHeight="1" ht="18" hidden="true" outlineLevel="4">
      <c r="A4260" s="2" t="s">
        <v>8012</v>
      </c>
      <c r="B4260" s="3" t="s">
        <v>8013</v>
      </c>
      <c r="C4260" s="2"/>
      <c r="D4260" s="2" t="s">
        <v>16</v>
      </c>
      <c r="E4260" s="4">
        <f>4.53*(1-Z1%)</f>
        <v>4.53</v>
      </c>
      <c r="F4260" s="2">
        <v>40</v>
      </c>
      <c r="G4260" s="2"/>
    </row>
    <row r="4261" spans="1:26" customHeight="1" ht="18" hidden="true" outlineLevel="4">
      <c r="A4261" s="2" t="s">
        <v>8014</v>
      </c>
      <c r="B4261" s="3" t="s">
        <v>8015</v>
      </c>
      <c r="C4261" s="2"/>
      <c r="D4261" s="2" t="s">
        <v>16</v>
      </c>
      <c r="E4261" s="4">
        <f>5.04*(1-Z1%)</f>
        <v>5.04</v>
      </c>
      <c r="F4261" s="2">
        <v>260</v>
      </c>
      <c r="G4261" s="2"/>
    </row>
    <row r="4262" spans="1:26" customHeight="1" ht="18" hidden="true" outlineLevel="4">
      <c r="A4262" s="2" t="s">
        <v>8016</v>
      </c>
      <c r="B4262" s="3" t="s">
        <v>8017</v>
      </c>
      <c r="C4262" s="2"/>
      <c r="D4262" s="2" t="s">
        <v>16</v>
      </c>
      <c r="E4262" s="4">
        <f>4.54*(1-Z1%)</f>
        <v>4.54</v>
      </c>
      <c r="F4262" s="2">
        <v>70</v>
      </c>
      <c r="G4262" s="2"/>
    </row>
    <row r="4263" spans="1:26" customHeight="1" ht="18" hidden="true" outlineLevel="4">
      <c r="A4263" s="2" t="s">
        <v>8018</v>
      </c>
      <c r="B4263" s="3" t="s">
        <v>8019</v>
      </c>
      <c r="C4263" s="2"/>
      <c r="D4263" s="2" t="s">
        <v>16</v>
      </c>
      <c r="E4263" s="4">
        <f>3.91*(1-Z1%)</f>
        <v>3.91</v>
      </c>
      <c r="F4263" s="2">
        <v>1650</v>
      </c>
      <c r="G4263" s="2"/>
    </row>
    <row r="4264" spans="1:26" customHeight="1" ht="18" hidden="true" outlineLevel="4">
      <c r="A4264" s="2" t="s">
        <v>8020</v>
      </c>
      <c r="B4264" s="3" t="s">
        <v>8021</v>
      </c>
      <c r="C4264" s="2"/>
      <c r="D4264" s="2" t="s">
        <v>16</v>
      </c>
      <c r="E4264" s="4">
        <f>5.94*(1-Z1%)</f>
        <v>5.94</v>
      </c>
      <c r="F4264" s="2">
        <v>30</v>
      </c>
      <c r="G4264" s="2"/>
    </row>
    <row r="4265" spans="1:26" customHeight="1" ht="35" hidden="true" outlineLevel="3">
      <c r="A4265" s="5" t="s">
        <v>8022</v>
      </c>
      <c r="B4265" s="5"/>
      <c r="C4265" s="5"/>
      <c r="D4265" s="5"/>
      <c r="E4265" s="5"/>
      <c r="F4265" s="5"/>
      <c r="G4265" s="5"/>
    </row>
    <row r="4266" spans="1:26" customHeight="1" ht="36" hidden="true" outlineLevel="3">
      <c r="A4266" s="2" t="s">
        <v>8023</v>
      </c>
      <c r="B4266" s="3" t="s">
        <v>8024</v>
      </c>
      <c r="C4266" s="2"/>
      <c r="D4266" s="2" t="s">
        <v>16</v>
      </c>
      <c r="E4266" s="4">
        <f>219.71*(1-Z1%)</f>
        <v>219.71</v>
      </c>
      <c r="F4266" s="2">
        <v>3</v>
      </c>
      <c r="G4266" s="2"/>
    </row>
    <row r="4267" spans="1:26" customHeight="1" ht="18" hidden="true" outlineLevel="3">
      <c r="A4267" s="2" t="s">
        <v>8025</v>
      </c>
      <c r="B4267" s="3" t="s">
        <v>8026</v>
      </c>
      <c r="C4267" s="2"/>
      <c r="D4267" s="2" t="s">
        <v>16</v>
      </c>
      <c r="E4267" s="4">
        <f>288.23*(1-Z1%)</f>
        <v>288.23</v>
      </c>
      <c r="F4267" s="2">
        <v>3</v>
      </c>
      <c r="G4267" s="2"/>
    </row>
    <row r="4268" spans="1:26" customHeight="1" ht="35" hidden="true" outlineLevel="2">
      <c r="A4268" s="5" t="s">
        <v>8027</v>
      </c>
      <c r="B4268" s="5"/>
      <c r="C4268" s="5"/>
      <c r="D4268" s="5"/>
      <c r="E4268" s="5"/>
      <c r="F4268" s="5"/>
      <c r="G4268" s="5"/>
    </row>
    <row r="4269" spans="1:26" customHeight="1" ht="35" hidden="true" outlineLevel="3">
      <c r="A4269" s="5" t="s">
        <v>8028</v>
      </c>
      <c r="B4269" s="5"/>
      <c r="C4269" s="5"/>
      <c r="D4269" s="5"/>
      <c r="E4269" s="5"/>
      <c r="F4269" s="5"/>
      <c r="G4269" s="5"/>
    </row>
    <row r="4270" spans="1:26" customHeight="1" ht="36" hidden="true" outlineLevel="3">
      <c r="A4270" s="2" t="s">
        <v>8029</v>
      </c>
      <c r="B4270" s="3" t="s">
        <v>8030</v>
      </c>
      <c r="C4270" s="2"/>
      <c r="D4270" s="2" t="s">
        <v>16</v>
      </c>
      <c r="E4270" s="4">
        <f>287.28*(1-Z1%)</f>
        <v>287.28</v>
      </c>
      <c r="F4270" s="2">
        <v>4</v>
      </c>
      <c r="G4270" s="2"/>
    </row>
    <row r="4271" spans="1:26" customHeight="1" ht="18" hidden="true" outlineLevel="3">
      <c r="A4271" s="2" t="s">
        <v>8031</v>
      </c>
      <c r="B4271" s="3" t="s">
        <v>8032</v>
      </c>
      <c r="C4271" s="2"/>
      <c r="D4271" s="2" t="s">
        <v>16</v>
      </c>
      <c r="E4271" s="4">
        <f>311.54*(1-Z1%)</f>
        <v>311.54</v>
      </c>
      <c r="F4271" s="2">
        <v>3</v>
      </c>
      <c r="G4271" s="2"/>
    </row>
    <row r="4272" spans="1:26" customHeight="1" ht="36" hidden="true" outlineLevel="3">
      <c r="A4272" s="2" t="s">
        <v>8033</v>
      </c>
      <c r="B4272" s="3" t="s">
        <v>8034</v>
      </c>
      <c r="C4272" s="2"/>
      <c r="D4272" s="2" t="s">
        <v>16</v>
      </c>
      <c r="E4272" s="4">
        <f>305.28*(1-Z1%)</f>
        <v>305.28</v>
      </c>
      <c r="F4272" s="2">
        <v>7</v>
      </c>
      <c r="G4272" s="2"/>
    </row>
    <row r="4273" spans="1:26" customHeight="1" ht="36" hidden="true" outlineLevel="3">
      <c r="A4273" s="2" t="s">
        <v>8035</v>
      </c>
      <c r="B4273" s="3" t="s">
        <v>8036</v>
      </c>
      <c r="C4273" s="2"/>
      <c r="D4273" s="2" t="s">
        <v>16</v>
      </c>
      <c r="E4273" s="4">
        <f>352.96*(1-Z1%)</f>
        <v>352.96</v>
      </c>
      <c r="F4273" s="2">
        <v>5</v>
      </c>
      <c r="G4273" s="2"/>
    </row>
    <row r="4274" spans="1:26" customHeight="1" ht="36" hidden="true" outlineLevel="3">
      <c r="A4274" s="2" t="s">
        <v>8037</v>
      </c>
      <c r="B4274" s="3" t="s">
        <v>8038</v>
      </c>
      <c r="C4274" s="2"/>
      <c r="D4274" s="2" t="s">
        <v>16</v>
      </c>
      <c r="E4274" s="4">
        <f>465.01*(1-Z1%)</f>
        <v>465.01</v>
      </c>
      <c r="F4274" s="2">
        <v>4</v>
      </c>
      <c r="G4274" s="2"/>
    </row>
    <row r="4275" spans="1:26" customHeight="1" ht="36" hidden="true" outlineLevel="3">
      <c r="A4275" s="2" t="s">
        <v>8039</v>
      </c>
      <c r="B4275" s="3" t="s">
        <v>8040</v>
      </c>
      <c r="C4275" s="2"/>
      <c r="D4275" s="2" t="s">
        <v>16</v>
      </c>
      <c r="E4275" s="4">
        <f>411.98*(1-Z1%)</f>
        <v>411.98</v>
      </c>
      <c r="F4275" s="2">
        <v>1</v>
      </c>
      <c r="G4275" s="2"/>
    </row>
    <row r="4276" spans="1:26" customHeight="1" ht="36" hidden="true" outlineLevel="3">
      <c r="A4276" s="2" t="s">
        <v>8041</v>
      </c>
      <c r="B4276" s="3" t="s">
        <v>8042</v>
      </c>
      <c r="C4276" s="2"/>
      <c r="D4276" s="2" t="s">
        <v>16</v>
      </c>
      <c r="E4276" s="4">
        <f>579.75*(1-Z1%)</f>
        <v>579.75</v>
      </c>
      <c r="F4276" s="2">
        <v>5</v>
      </c>
      <c r="G4276" s="2"/>
    </row>
    <row r="4277" spans="1:26" customHeight="1" ht="36" hidden="true" outlineLevel="3">
      <c r="A4277" s="2" t="s">
        <v>8043</v>
      </c>
      <c r="B4277" s="3" t="s">
        <v>8044</v>
      </c>
      <c r="C4277" s="2"/>
      <c r="D4277" s="2" t="s">
        <v>16</v>
      </c>
      <c r="E4277" s="4">
        <f>616.62*(1-Z1%)</f>
        <v>616.62</v>
      </c>
      <c r="F4277" s="2">
        <v>1</v>
      </c>
      <c r="G4277" s="2"/>
    </row>
    <row r="4278" spans="1:26" customHeight="1" ht="36" hidden="true" outlineLevel="3">
      <c r="A4278" s="2" t="s">
        <v>8045</v>
      </c>
      <c r="B4278" s="3" t="s">
        <v>8046</v>
      </c>
      <c r="C4278" s="2"/>
      <c r="D4278" s="2" t="s">
        <v>16</v>
      </c>
      <c r="E4278" s="4">
        <f>941.95*(1-Z1%)</f>
        <v>941.95</v>
      </c>
      <c r="F4278" s="2">
        <v>1</v>
      </c>
      <c r="G4278" s="2"/>
    </row>
    <row r="4279" spans="1:26" customHeight="1" ht="35" hidden="true" outlineLevel="3">
      <c r="A4279" s="5" t="s">
        <v>8047</v>
      </c>
      <c r="B4279" s="5"/>
      <c r="C4279" s="5"/>
      <c r="D4279" s="5"/>
      <c r="E4279" s="5"/>
      <c r="F4279" s="5"/>
      <c r="G4279" s="5"/>
    </row>
    <row r="4280" spans="1:26" customHeight="1" ht="18" hidden="true" outlineLevel="3">
      <c r="A4280" s="2" t="s">
        <v>8048</v>
      </c>
      <c r="B4280" s="3" t="s">
        <v>8049</v>
      </c>
      <c r="C4280" s="2"/>
      <c r="D4280" s="2" t="s">
        <v>16</v>
      </c>
      <c r="E4280" s="4">
        <f>336.23*(1-Z1%)</f>
        <v>336.23</v>
      </c>
      <c r="F4280" s="2">
        <v>4</v>
      </c>
      <c r="G4280" s="2"/>
    </row>
    <row r="4281" spans="1:26" customHeight="1" ht="36" hidden="true" outlineLevel="3">
      <c r="A4281" s="2" t="s">
        <v>8050</v>
      </c>
      <c r="B4281" s="3" t="s">
        <v>8051</v>
      </c>
      <c r="C4281" s="2"/>
      <c r="D4281" s="2" t="s">
        <v>16</v>
      </c>
      <c r="E4281" s="4">
        <f>167.84*(1-Z1%)</f>
        <v>167.84</v>
      </c>
      <c r="F4281" s="2">
        <v>10</v>
      </c>
      <c r="G4281" s="2"/>
    </row>
    <row r="4282" spans="1:26" customHeight="1" ht="36" hidden="true" outlineLevel="3">
      <c r="A4282" s="2" t="s">
        <v>8052</v>
      </c>
      <c r="B4282" s="3" t="s">
        <v>8053</v>
      </c>
      <c r="C4282" s="2"/>
      <c r="D4282" s="2" t="s">
        <v>16</v>
      </c>
      <c r="E4282" s="4">
        <f>92.75*(1-Z1%)</f>
        <v>92.75</v>
      </c>
      <c r="F4282" s="2">
        <v>6</v>
      </c>
      <c r="G4282" s="2"/>
    </row>
    <row r="4283" spans="1:26" customHeight="1" ht="18" hidden="true" outlineLevel="3">
      <c r="A4283" s="2" t="s">
        <v>8054</v>
      </c>
      <c r="B4283" s="3" t="s">
        <v>8055</v>
      </c>
      <c r="C4283" s="2"/>
      <c r="D4283" s="2" t="s">
        <v>16</v>
      </c>
      <c r="E4283" s="4">
        <f>121.77*(1-Z1%)</f>
        <v>121.77</v>
      </c>
      <c r="F4283" s="2">
        <v>1</v>
      </c>
      <c r="G4283" s="2"/>
    </row>
    <row r="4284" spans="1:26" customHeight="1" ht="18" hidden="true" outlineLevel="3">
      <c r="A4284" s="2" t="s">
        <v>8056</v>
      </c>
      <c r="B4284" s="3" t="s">
        <v>8057</v>
      </c>
      <c r="C4284" s="2"/>
      <c r="D4284" s="2" t="s">
        <v>16</v>
      </c>
      <c r="E4284" s="4">
        <f>213.97*(1-Z1%)</f>
        <v>213.97</v>
      </c>
      <c r="F4284" s="2">
        <v>9</v>
      </c>
      <c r="G4284" s="2"/>
    </row>
    <row r="4285" spans="1:26" customHeight="1" ht="18" hidden="true" outlineLevel="3">
      <c r="A4285" s="2" t="s">
        <v>8058</v>
      </c>
      <c r="B4285" s="3" t="s">
        <v>8059</v>
      </c>
      <c r="C4285" s="2"/>
      <c r="D4285" s="2" t="s">
        <v>16</v>
      </c>
      <c r="E4285" s="4">
        <f>69.28*(1-Z1%)</f>
        <v>69.28</v>
      </c>
      <c r="F4285" s="2">
        <v>14</v>
      </c>
      <c r="G4285" s="2"/>
    </row>
    <row r="4286" spans="1:26" customHeight="1" ht="36" hidden="true" outlineLevel="3">
      <c r="A4286" s="2" t="s">
        <v>8060</v>
      </c>
      <c r="B4286" s="3" t="s">
        <v>8061</v>
      </c>
      <c r="C4286" s="2"/>
      <c r="D4286" s="2" t="s">
        <v>16</v>
      </c>
      <c r="E4286" s="4">
        <f>90.69*(1-Z1%)</f>
        <v>90.69</v>
      </c>
      <c r="F4286" s="2">
        <v>4</v>
      </c>
      <c r="G4286" s="2"/>
    </row>
    <row r="4287" spans="1:26" customHeight="1" ht="36" hidden="true" outlineLevel="3">
      <c r="A4287" s="2" t="s">
        <v>8062</v>
      </c>
      <c r="B4287" s="3" t="s">
        <v>8063</v>
      </c>
      <c r="C4287" s="2"/>
      <c r="D4287" s="2" t="s">
        <v>16</v>
      </c>
      <c r="E4287" s="4">
        <f>118.26*(1-Z1%)</f>
        <v>118.26</v>
      </c>
      <c r="F4287" s="2">
        <v>4</v>
      </c>
      <c r="G4287" s="2"/>
    </row>
    <row r="4288" spans="1:26" customHeight="1" ht="18" hidden="true" outlineLevel="3">
      <c r="A4288" s="2" t="s">
        <v>8064</v>
      </c>
      <c r="B4288" s="3" t="s">
        <v>8065</v>
      </c>
      <c r="C4288" s="2"/>
      <c r="D4288" s="2" t="s">
        <v>16</v>
      </c>
      <c r="E4288" s="4">
        <f>153.25*(1-Z1%)</f>
        <v>153.25</v>
      </c>
      <c r="F4288" s="2">
        <v>12</v>
      </c>
      <c r="G4288" s="2"/>
    </row>
    <row r="4289" spans="1:26" customHeight="1" ht="36" hidden="true" outlineLevel="3">
      <c r="A4289" s="2" t="s">
        <v>8066</v>
      </c>
      <c r="B4289" s="3" t="s">
        <v>8067</v>
      </c>
      <c r="C4289" s="2"/>
      <c r="D4289" s="2" t="s">
        <v>16</v>
      </c>
      <c r="E4289" s="4">
        <f>123.44*(1-Z1%)</f>
        <v>123.44</v>
      </c>
      <c r="F4289" s="2">
        <v>4</v>
      </c>
      <c r="G4289" s="2"/>
    </row>
    <row r="4290" spans="1:26" customHeight="1" ht="18" hidden="true" outlineLevel="3">
      <c r="A4290" s="2" t="s">
        <v>8068</v>
      </c>
      <c r="B4290" s="3" t="s">
        <v>8069</v>
      </c>
      <c r="C4290" s="2"/>
      <c r="D4290" s="2" t="s">
        <v>16</v>
      </c>
      <c r="E4290" s="4">
        <f>153.63*(1-Z1%)</f>
        <v>153.63</v>
      </c>
      <c r="F4290" s="2">
        <v>10</v>
      </c>
      <c r="G4290" s="2"/>
    </row>
    <row r="4291" spans="1:26" customHeight="1" ht="36" hidden="true" outlineLevel="3">
      <c r="A4291" s="2" t="s">
        <v>8070</v>
      </c>
      <c r="B4291" s="3" t="s">
        <v>8071</v>
      </c>
      <c r="C4291" s="2"/>
      <c r="D4291" s="2" t="s">
        <v>16</v>
      </c>
      <c r="E4291" s="4">
        <f>128.39*(1-Z1%)</f>
        <v>128.39</v>
      </c>
      <c r="F4291" s="2">
        <v>2</v>
      </c>
      <c r="G4291" s="2"/>
    </row>
    <row r="4292" spans="1:26" customHeight="1" ht="18" hidden="true" outlineLevel="3">
      <c r="A4292" s="2" t="s">
        <v>8072</v>
      </c>
      <c r="B4292" s="3" t="s">
        <v>8073</v>
      </c>
      <c r="C4292" s="2"/>
      <c r="D4292" s="2" t="s">
        <v>16</v>
      </c>
      <c r="E4292" s="4">
        <f>187.25*(1-Z1%)</f>
        <v>187.25</v>
      </c>
      <c r="F4292" s="2">
        <v>5</v>
      </c>
      <c r="G4292" s="2"/>
    </row>
    <row r="4293" spans="1:26" customHeight="1" ht="18" hidden="true" outlineLevel="3">
      <c r="A4293" s="2" t="s">
        <v>8074</v>
      </c>
      <c r="B4293" s="3" t="s">
        <v>8075</v>
      </c>
      <c r="C4293" s="2"/>
      <c r="D4293" s="2" t="s">
        <v>16</v>
      </c>
      <c r="E4293" s="4">
        <f>142.25*(1-Z1%)</f>
        <v>142.25</v>
      </c>
      <c r="F4293" s="2">
        <v>2</v>
      </c>
      <c r="G4293" s="2"/>
    </row>
    <row r="4294" spans="1:26" customHeight="1" ht="36" hidden="true" outlineLevel="3">
      <c r="A4294" s="2" t="s">
        <v>8076</v>
      </c>
      <c r="B4294" s="3" t="s">
        <v>8077</v>
      </c>
      <c r="C4294" s="2"/>
      <c r="D4294" s="2" t="s">
        <v>16</v>
      </c>
      <c r="E4294" s="4">
        <f>112.56*(1-Z1%)</f>
        <v>112.56</v>
      </c>
      <c r="F4294" s="2">
        <v>5</v>
      </c>
      <c r="G4294" s="2"/>
    </row>
    <row r="4295" spans="1:26" customHeight="1" ht="36" hidden="true" outlineLevel="3">
      <c r="A4295" s="2" t="s">
        <v>8078</v>
      </c>
      <c r="B4295" s="3" t="s">
        <v>8079</v>
      </c>
      <c r="C4295" s="2"/>
      <c r="D4295" s="2" t="s">
        <v>16</v>
      </c>
      <c r="E4295" s="4">
        <f>146.75*(1-Z1%)</f>
        <v>146.75</v>
      </c>
      <c r="F4295" s="2">
        <v>7</v>
      </c>
      <c r="G4295" s="2"/>
    </row>
    <row r="4296" spans="1:26" customHeight="1" ht="18" hidden="true" outlineLevel="3">
      <c r="A4296" s="2" t="s">
        <v>8080</v>
      </c>
      <c r="B4296" s="3" t="s">
        <v>8081</v>
      </c>
      <c r="C4296" s="2"/>
      <c r="D4296" s="2" t="s">
        <v>16</v>
      </c>
      <c r="E4296" s="4">
        <f>82.67*(1-Z1%)</f>
        <v>82.67</v>
      </c>
      <c r="F4296" s="2">
        <v>5</v>
      </c>
      <c r="G4296" s="2"/>
    </row>
    <row r="4297" spans="1:26" customHeight="1" ht="36" hidden="true" outlineLevel="3">
      <c r="A4297" s="2" t="s">
        <v>8082</v>
      </c>
      <c r="B4297" s="3" t="s">
        <v>8083</v>
      </c>
      <c r="C4297" s="2"/>
      <c r="D4297" s="2" t="s">
        <v>16</v>
      </c>
      <c r="E4297" s="4">
        <f>114.70*(1-Z1%)</f>
        <v>114.7</v>
      </c>
      <c r="F4297" s="2">
        <v>6</v>
      </c>
      <c r="G4297" s="2"/>
    </row>
    <row r="4298" spans="1:26" customHeight="1" ht="18" hidden="true" outlineLevel="3">
      <c r="A4298" s="2" t="s">
        <v>8084</v>
      </c>
      <c r="B4298" s="3" t="s">
        <v>8085</v>
      </c>
      <c r="C4298" s="2"/>
      <c r="D4298" s="2" t="s">
        <v>16</v>
      </c>
      <c r="E4298" s="4">
        <f>201.78*(1-Z1%)</f>
        <v>201.78</v>
      </c>
      <c r="F4298" s="2">
        <v>3</v>
      </c>
      <c r="G4298" s="2"/>
    </row>
    <row r="4299" spans="1:26" customHeight="1" ht="18" hidden="true" outlineLevel="3">
      <c r="A4299" s="2" t="s">
        <v>8086</v>
      </c>
      <c r="B4299" s="3" t="s">
        <v>8087</v>
      </c>
      <c r="C4299" s="2"/>
      <c r="D4299" s="2" t="s">
        <v>16</v>
      </c>
      <c r="E4299" s="4">
        <f>177.64*(1-Z1%)</f>
        <v>177.64</v>
      </c>
      <c r="F4299" s="2">
        <v>2</v>
      </c>
      <c r="G4299" s="2"/>
    </row>
    <row r="4300" spans="1:26" customHeight="1" ht="36" hidden="true" outlineLevel="3">
      <c r="A4300" s="2" t="s">
        <v>8088</v>
      </c>
      <c r="B4300" s="3" t="s">
        <v>8089</v>
      </c>
      <c r="C4300" s="2"/>
      <c r="D4300" s="2" t="s">
        <v>16</v>
      </c>
      <c r="E4300" s="4">
        <f>167.86*(1-Z1%)</f>
        <v>167.86</v>
      </c>
      <c r="F4300" s="2">
        <v>3</v>
      </c>
      <c r="G4300" s="2"/>
    </row>
    <row r="4301" spans="1:26" customHeight="1" ht="36" hidden="true" outlineLevel="3">
      <c r="A4301" s="2" t="s">
        <v>8090</v>
      </c>
      <c r="B4301" s="3" t="s">
        <v>8091</v>
      </c>
      <c r="C4301" s="2"/>
      <c r="D4301" s="2" t="s">
        <v>16</v>
      </c>
      <c r="E4301" s="4">
        <f>245.25*(1-Z1%)</f>
        <v>245.25</v>
      </c>
      <c r="F4301" s="2">
        <v>3</v>
      </c>
      <c r="G4301" s="2"/>
    </row>
    <row r="4302" spans="1:26" customHeight="1" ht="36" hidden="true" outlineLevel="3">
      <c r="A4302" s="2" t="s">
        <v>8092</v>
      </c>
      <c r="B4302" s="3" t="s">
        <v>8093</v>
      </c>
      <c r="C4302" s="2"/>
      <c r="D4302" s="2" t="s">
        <v>16</v>
      </c>
      <c r="E4302" s="4">
        <f>143.58*(1-Z1%)</f>
        <v>143.58</v>
      </c>
      <c r="F4302" s="2">
        <v>2</v>
      </c>
      <c r="G4302" s="2"/>
    </row>
    <row r="4303" spans="1:26" customHeight="1" ht="36" hidden="true" outlineLevel="3">
      <c r="A4303" s="2" t="s">
        <v>8094</v>
      </c>
      <c r="B4303" s="3" t="s">
        <v>8095</v>
      </c>
      <c r="C4303" s="2"/>
      <c r="D4303" s="2" t="s">
        <v>16</v>
      </c>
      <c r="E4303" s="4">
        <f>189.37*(1-Z1%)</f>
        <v>189.37</v>
      </c>
      <c r="F4303" s="2">
        <v>1</v>
      </c>
      <c r="G4303" s="2"/>
    </row>
    <row r="4304" spans="1:26" customHeight="1" ht="36" hidden="true" outlineLevel="3">
      <c r="A4304" s="2" t="s">
        <v>8096</v>
      </c>
      <c r="B4304" s="3" t="s">
        <v>8097</v>
      </c>
      <c r="C4304" s="2"/>
      <c r="D4304" s="2" t="s">
        <v>16</v>
      </c>
      <c r="E4304" s="4">
        <f>154.76*(1-Z1%)</f>
        <v>154.76</v>
      </c>
      <c r="F4304" s="2">
        <v>3</v>
      </c>
      <c r="G4304" s="2"/>
    </row>
    <row r="4305" spans="1:26" customHeight="1" ht="36" hidden="true" outlineLevel="3">
      <c r="A4305" s="2" t="s">
        <v>8098</v>
      </c>
      <c r="B4305" s="3" t="s">
        <v>8099</v>
      </c>
      <c r="C4305" s="2"/>
      <c r="D4305" s="2" t="s">
        <v>16</v>
      </c>
      <c r="E4305" s="4">
        <f>195.16*(1-Z1%)</f>
        <v>195.16</v>
      </c>
      <c r="F4305" s="2">
        <v>2</v>
      </c>
      <c r="G4305" s="2"/>
    </row>
    <row r="4306" spans="1:26" customHeight="1" ht="18" hidden="true" outlineLevel="3">
      <c r="A4306" s="2" t="s">
        <v>8100</v>
      </c>
      <c r="B4306" s="3" t="s">
        <v>8101</v>
      </c>
      <c r="C4306" s="2"/>
      <c r="D4306" s="2" t="s">
        <v>16</v>
      </c>
      <c r="E4306" s="4">
        <f>158.45*(1-Z1%)</f>
        <v>158.45</v>
      </c>
      <c r="F4306" s="2">
        <v>1</v>
      </c>
      <c r="G4306" s="2"/>
    </row>
    <row r="4307" spans="1:26" customHeight="1" ht="18" hidden="true" outlineLevel="3">
      <c r="A4307" s="2" t="s">
        <v>8102</v>
      </c>
      <c r="B4307" s="3" t="s">
        <v>8103</v>
      </c>
      <c r="C4307" s="2"/>
      <c r="D4307" s="2" t="s">
        <v>16</v>
      </c>
      <c r="E4307" s="4">
        <f>236.84*(1-Z1%)</f>
        <v>236.84</v>
      </c>
      <c r="F4307" s="2">
        <v>3</v>
      </c>
      <c r="G4307" s="2"/>
    </row>
    <row r="4308" spans="1:26" customHeight="1" ht="18" hidden="true" outlineLevel="3">
      <c r="A4308" s="2" t="s">
        <v>8104</v>
      </c>
      <c r="B4308" s="3" t="s">
        <v>8105</v>
      </c>
      <c r="C4308" s="2"/>
      <c r="D4308" s="2" t="s">
        <v>16</v>
      </c>
      <c r="E4308" s="4">
        <f>165.38*(1-Z1%)</f>
        <v>165.38</v>
      </c>
      <c r="F4308" s="2">
        <v>4</v>
      </c>
      <c r="G4308" s="2"/>
    </row>
    <row r="4309" spans="1:26" customHeight="1" ht="18" hidden="true" outlineLevel="3">
      <c r="A4309" s="2" t="s">
        <v>8106</v>
      </c>
      <c r="B4309" s="3" t="s">
        <v>8107</v>
      </c>
      <c r="C4309" s="2"/>
      <c r="D4309" s="2" t="s">
        <v>16</v>
      </c>
      <c r="E4309" s="4">
        <f>171.52*(1-Z1%)</f>
        <v>171.52</v>
      </c>
      <c r="F4309" s="2">
        <v>2</v>
      </c>
      <c r="G4309" s="2"/>
    </row>
    <row r="4310" spans="1:26" customHeight="1" ht="36" hidden="true" outlineLevel="3">
      <c r="A4310" s="2" t="s">
        <v>8108</v>
      </c>
      <c r="B4310" s="3" t="s">
        <v>8109</v>
      </c>
      <c r="C4310" s="2"/>
      <c r="D4310" s="2" t="s">
        <v>16</v>
      </c>
      <c r="E4310" s="4">
        <f>109.89*(1-Z1%)</f>
        <v>109.89</v>
      </c>
      <c r="F4310" s="2">
        <v>2</v>
      </c>
      <c r="G4310" s="2"/>
    </row>
    <row r="4311" spans="1:26" customHeight="1" ht="36" hidden="true" outlineLevel="3">
      <c r="A4311" s="2" t="s">
        <v>8110</v>
      </c>
      <c r="B4311" s="3" t="s">
        <v>8111</v>
      </c>
      <c r="C4311" s="2"/>
      <c r="D4311" s="2" t="s">
        <v>16</v>
      </c>
      <c r="E4311" s="4">
        <f>102.05*(1-Z1%)</f>
        <v>102.05</v>
      </c>
      <c r="F4311" s="2">
        <v>1</v>
      </c>
      <c r="G4311" s="2"/>
    </row>
    <row r="4312" spans="1:26" customHeight="1" ht="36" hidden="true" outlineLevel="3">
      <c r="A4312" s="2" t="s">
        <v>8112</v>
      </c>
      <c r="B4312" s="3" t="s">
        <v>8113</v>
      </c>
      <c r="C4312" s="2"/>
      <c r="D4312" s="2" t="s">
        <v>16</v>
      </c>
      <c r="E4312" s="4">
        <f>109.89*(1-Z1%)</f>
        <v>109.89</v>
      </c>
      <c r="F4312" s="2">
        <v>5</v>
      </c>
      <c r="G4312" s="2"/>
    </row>
    <row r="4313" spans="1:26" customHeight="1" ht="18" hidden="true" outlineLevel="3">
      <c r="A4313" s="2" t="s">
        <v>8114</v>
      </c>
      <c r="B4313" s="3" t="s">
        <v>8115</v>
      </c>
      <c r="C4313" s="2"/>
      <c r="D4313" s="2" t="s">
        <v>16</v>
      </c>
      <c r="E4313" s="4">
        <f>178.88*(1-Z1%)</f>
        <v>178.88</v>
      </c>
      <c r="F4313" s="2">
        <v>10</v>
      </c>
      <c r="G4313" s="2"/>
    </row>
    <row r="4314" spans="1:26" customHeight="1" ht="18" hidden="true" outlineLevel="3">
      <c r="A4314" s="2" t="s">
        <v>8116</v>
      </c>
      <c r="B4314" s="3" t="s">
        <v>8117</v>
      </c>
      <c r="C4314" s="2"/>
      <c r="D4314" s="2" t="s">
        <v>16</v>
      </c>
      <c r="E4314" s="4">
        <f>149.30*(1-Z1%)</f>
        <v>149.3</v>
      </c>
      <c r="F4314" s="2">
        <v>1</v>
      </c>
      <c r="G4314" s="2"/>
    </row>
    <row r="4315" spans="1:26" customHeight="1" ht="36" hidden="true" outlineLevel="3">
      <c r="A4315" s="2" t="s">
        <v>8118</v>
      </c>
      <c r="B4315" s="3" t="s">
        <v>8119</v>
      </c>
      <c r="C4315" s="2"/>
      <c r="D4315" s="2" t="s">
        <v>16</v>
      </c>
      <c r="E4315" s="4">
        <f>186.31*(1-Z1%)</f>
        <v>186.31</v>
      </c>
      <c r="F4315" s="2">
        <v>8</v>
      </c>
      <c r="G4315" s="2"/>
    </row>
    <row r="4316" spans="1:26" customHeight="1" ht="18" hidden="true" outlineLevel="3">
      <c r="A4316" s="2" t="s">
        <v>8120</v>
      </c>
      <c r="B4316" s="3" t="s">
        <v>8121</v>
      </c>
      <c r="C4316" s="2"/>
      <c r="D4316" s="2" t="s">
        <v>16</v>
      </c>
      <c r="E4316" s="4">
        <f>217.35*(1-Z1%)</f>
        <v>217.35</v>
      </c>
      <c r="F4316" s="2">
        <v>2</v>
      </c>
      <c r="G4316" s="2"/>
    </row>
    <row r="4317" spans="1:26" customHeight="1" ht="36" hidden="true" outlineLevel="3">
      <c r="A4317" s="2" t="s">
        <v>8122</v>
      </c>
      <c r="B4317" s="3" t="s">
        <v>8123</v>
      </c>
      <c r="C4317" s="2"/>
      <c r="D4317" s="2" t="s">
        <v>16</v>
      </c>
      <c r="E4317" s="4">
        <f>140.63*(1-Z1%)</f>
        <v>140.63</v>
      </c>
      <c r="F4317" s="2">
        <v>1</v>
      </c>
      <c r="G4317" s="2"/>
    </row>
    <row r="4318" spans="1:26" customHeight="1" ht="36" hidden="true" outlineLevel="3">
      <c r="A4318" s="2" t="s">
        <v>8124</v>
      </c>
      <c r="B4318" s="3" t="s">
        <v>8125</v>
      </c>
      <c r="C4318" s="2"/>
      <c r="D4318" s="2" t="s">
        <v>16</v>
      </c>
      <c r="E4318" s="4">
        <f>216.23*(1-Z1%)</f>
        <v>216.23</v>
      </c>
      <c r="F4318" s="2">
        <v>10</v>
      </c>
      <c r="G4318" s="2"/>
    </row>
    <row r="4319" spans="1:26" customHeight="1" ht="18" hidden="true" outlineLevel="3">
      <c r="A4319" s="2" t="s">
        <v>8126</v>
      </c>
      <c r="B4319" s="3" t="s">
        <v>8127</v>
      </c>
      <c r="C4319" s="2"/>
      <c r="D4319" s="2" t="s">
        <v>16</v>
      </c>
      <c r="E4319" s="4">
        <f>156.09*(1-Z1%)</f>
        <v>156.09</v>
      </c>
      <c r="F4319" s="2">
        <v>6</v>
      </c>
      <c r="G4319" s="2"/>
    </row>
    <row r="4320" spans="1:26" customHeight="1" ht="36" hidden="true" outlineLevel="3">
      <c r="A4320" s="2" t="s">
        <v>8128</v>
      </c>
      <c r="B4320" s="3" t="s">
        <v>8129</v>
      </c>
      <c r="C4320" s="2"/>
      <c r="D4320" s="2" t="s">
        <v>16</v>
      </c>
      <c r="E4320" s="4">
        <f>123.44*(1-Z1%)</f>
        <v>123.44</v>
      </c>
      <c r="F4320" s="2">
        <v>19</v>
      </c>
      <c r="G4320" s="2"/>
    </row>
    <row r="4321" spans="1:26" customHeight="1" ht="18" hidden="true" outlineLevel="3">
      <c r="A4321" s="2" t="s">
        <v>8130</v>
      </c>
      <c r="B4321" s="3" t="s">
        <v>8131</v>
      </c>
      <c r="C4321" s="2"/>
      <c r="D4321" s="2" t="s">
        <v>16</v>
      </c>
      <c r="E4321" s="4">
        <f>132.85*(1-Z1%)</f>
        <v>132.85</v>
      </c>
      <c r="F4321" s="2">
        <v>9</v>
      </c>
      <c r="G4321" s="2"/>
    </row>
    <row r="4322" spans="1:26" customHeight="1" ht="36" hidden="true" outlineLevel="3">
      <c r="A4322" s="2" t="s">
        <v>8132</v>
      </c>
      <c r="B4322" s="3" t="s">
        <v>8133</v>
      </c>
      <c r="C4322" s="2"/>
      <c r="D4322" s="2" t="s">
        <v>16</v>
      </c>
      <c r="E4322" s="4">
        <f>217.34*(1-Z1%)</f>
        <v>217.34</v>
      </c>
      <c r="F4322" s="2">
        <v>1</v>
      </c>
      <c r="G4322" s="2"/>
    </row>
    <row r="4323" spans="1:26" customHeight="1" ht="36" hidden="true" outlineLevel="3">
      <c r="A4323" s="2" t="s">
        <v>8134</v>
      </c>
      <c r="B4323" s="3" t="s">
        <v>8135</v>
      </c>
      <c r="C4323" s="2"/>
      <c r="D4323" s="2" t="s">
        <v>16</v>
      </c>
      <c r="E4323" s="4">
        <f>184.24*(1-Z1%)</f>
        <v>184.24</v>
      </c>
      <c r="F4323" s="2">
        <v>2</v>
      </c>
      <c r="G4323" s="2"/>
    </row>
    <row r="4324" spans="1:26" customHeight="1" ht="18" hidden="true" outlineLevel="3">
      <c r="A4324" s="2" t="s">
        <v>8136</v>
      </c>
      <c r="B4324" s="3" t="s">
        <v>8137</v>
      </c>
      <c r="C4324" s="2"/>
      <c r="D4324" s="2" t="s">
        <v>16</v>
      </c>
      <c r="E4324" s="4">
        <f>132.85*(1-Z1%)</f>
        <v>132.85</v>
      </c>
      <c r="F4324" s="2">
        <v>3</v>
      </c>
      <c r="G4324" s="2"/>
    </row>
    <row r="4325" spans="1:26" customHeight="1" ht="18" hidden="true" outlineLevel="3">
      <c r="A4325" s="2" t="s">
        <v>8138</v>
      </c>
      <c r="B4325" s="3" t="s">
        <v>8139</v>
      </c>
      <c r="C4325" s="2"/>
      <c r="D4325" s="2" t="s">
        <v>16</v>
      </c>
      <c r="E4325" s="4">
        <f>426.35*(1-Z1%)</f>
        <v>426.35</v>
      </c>
      <c r="F4325" s="2">
        <v>3</v>
      </c>
      <c r="G4325" s="2"/>
    </row>
    <row r="4326" spans="1:26" customHeight="1" ht="18" hidden="true" outlineLevel="3">
      <c r="A4326" s="2" t="s">
        <v>8140</v>
      </c>
      <c r="B4326" s="3" t="s">
        <v>8141</v>
      </c>
      <c r="C4326" s="2"/>
      <c r="D4326" s="2" t="s">
        <v>16</v>
      </c>
      <c r="E4326" s="4">
        <f>275.65*(1-Z1%)</f>
        <v>275.65</v>
      </c>
      <c r="F4326" s="2">
        <v>3</v>
      </c>
      <c r="G4326" s="2"/>
    </row>
    <row r="4327" spans="1:26" customHeight="1" ht="36" hidden="true" outlineLevel="3">
      <c r="A4327" s="2" t="s">
        <v>8142</v>
      </c>
      <c r="B4327" s="3" t="s">
        <v>8143</v>
      </c>
      <c r="C4327" s="2"/>
      <c r="D4327" s="2" t="s">
        <v>16</v>
      </c>
      <c r="E4327" s="4">
        <f>89.68*(1-Z1%)</f>
        <v>89.68</v>
      </c>
      <c r="F4327" s="2">
        <v>5</v>
      </c>
      <c r="G4327" s="2"/>
    </row>
    <row r="4328" spans="1:26" customHeight="1" ht="36" hidden="true" outlineLevel="3">
      <c r="A4328" s="2" t="s">
        <v>8144</v>
      </c>
      <c r="B4328" s="3" t="s">
        <v>8145</v>
      </c>
      <c r="C4328" s="2"/>
      <c r="D4328" s="2" t="s">
        <v>16</v>
      </c>
      <c r="E4328" s="4">
        <f>610.99*(1-Z1%)</f>
        <v>610.99</v>
      </c>
      <c r="F4328" s="2">
        <v>1</v>
      </c>
      <c r="G4328" s="2"/>
    </row>
    <row r="4329" spans="1:26" customHeight="1" ht="36" hidden="true" outlineLevel="3">
      <c r="A4329" s="2" t="s">
        <v>8146</v>
      </c>
      <c r="B4329" s="3" t="s">
        <v>8147</v>
      </c>
      <c r="C4329" s="2"/>
      <c r="D4329" s="2" t="s">
        <v>16</v>
      </c>
      <c r="E4329" s="4">
        <f>161.72*(1-Z1%)</f>
        <v>161.72</v>
      </c>
      <c r="F4329" s="2">
        <v>2</v>
      </c>
      <c r="G4329" s="2"/>
    </row>
    <row r="4330" spans="1:26" customHeight="1" ht="36" hidden="true" outlineLevel="3">
      <c r="A4330" s="2" t="s">
        <v>8148</v>
      </c>
      <c r="B4330" s="3" t="s">
        <v>8149</v>
      </c>
      <c r="C4330" s="2"/>
      <c r="D4330" s="2" t="s">
        <v>16</v>
      </c>
      <c r="E4330" s="4">
        <f>143.58*(1-Z1%)</f>
        <v>143.58</v>
      </c>
      <c r="F4330" s="2">
        <v>8</v>
      </c>
      <c r="G4330" s="2"/>
    </row>
    <row r="4331" spans="1:26" customHeight="1" ht="36" hidden="true" outlineLevel="3">
      <c r="A4331" s="2" t="s">
        <v>8150</v>
      </c>
      <c r="B4331" s="3" t="s">
        <v>8151</v>
      </c>
      <c r="C4331" s="2"/>
      <c r="D4331" s="2" t="s">
        <v>16</v>
      </c>
      <c r="E4331" s="4">
        <f>776.34*(1-Z1%)</f>
        <v>776.34</v>
      </c>
      <c r="F4331" s="2">
        <v>1</v>
      </c>
      <c r="G4331" s="2"/>
    </row>
    <row r="4332" spans="1:26" customHeight="1" ht="36" hidden="true" outlineLevel="3">
      <c r="A4332" s="2" t="s">
        <v>8152</v>
      </c>
      <c r="B4332" s="3" t="s">
        <v>8153</v>
      </c>
      <c r="C4332" s="2"/>
      <c r="D4332" s="2" t="s">
        <v>16</v>
      </c>
      <c r="E4332" s="4">
        <f>167.59*(1-Z1%)</f>
        <v>167.59</v>
      </c>
      <c r="F4332" s="2">
        <v>3</v>
      </c>
      <c r="G4332" s="2"/>
    </row>
    <row r="4333" spans="1:26" customHeight="1" ht="36" hidden="true" outlineLevel="3">
      <c r="A4333" s="2" t="s">
        <v>8154</v>
      </c>
      <c r="B4333" s="3" t="s">
        <v>8155</v>
      </c>
      <c r="C4333" s="2"/>
      <c r="D4333" s="2" t="s">
        <v>16</v>
      </c>
      <c r="E4333" s="4">
        <f>90.69*(1-Z1%)</f>
        <v>90.69</v>
      </c>
      <c r="F4333" s="2">
        <v>7</v>
      </c>
      <c r="G4333" s="2"/>
    </row>
    <row r="4334" spans="1:26" customHeight="1" ht="18" hidden="true" outlineLevel="3">
      <c r="A4334" s="2" t="s">
        <v>8156</v>
      </c>
      <c r="B4334" s="3" t="s">
        <v>8157</v>
      </c>
      <c r="C4334" s="2"/>
      <c r="D4334" s="2" t="s">
        <v>16</v>
      </c>
      <c r="E4334" s="4">
        <f>108.30*(1-Z1%)</f>
        <v>108.3</v>
      </c>
      <c r="F4334" s="2">
        <v>2</v>
      </c>
      <c r="G4334" s="2"/>
    </row>
    <row r="4335" spans="1:26" customHeight="1" ht="36" hidden="true" outlineLevel="3">
      <c r="A4335" s="2" t="s">
        <v>8158</v>
      </c>
      <c r="B4335" s="3" t="s">
        <v>8159</v>
      </c>
      <c r="C4335" s="2"/>
      <c r="D4335" s="2" t="s">
        <v>16</v>
      </c>
      <c r="E4335" s="4">
        <f>114.00*(1-Z1%)</f>
        <v>114</v>
      </c>
      <c r="F4335" s="2">
        <v>11</v>
      </c>
      <c r="G4335" s="2"/>
    </row>
    <row r="4336" spans="1:26" customHeight="1" ht="36" hidden="true" outlineLevel="3">
      <c r="A4336" s="2" t="s">
        <v>8160</v>
      </c>
      <c r="B4336" s="3" t="s">
        <v>8161</v>
      </c>
      <c r="C4336" s="2"/>
      <c r="D4336" s="2" t="s">
        <v>16</v>
      </c>
      <c r="E4336" s="4">
        <f>123.44*(1-Z1%)</f>
        <v>123.44</v>
      </c>
      <c r="F4336" s="2">
        <v>19</v>
      </c>
      <c r="G4336" s="2"/>
    </row>
    <row r="4337" spans="1:26" customHeight="1" ht="18" hidden="true" outlineLevel="3">
      <c r="A4337" s="2" t="s">
        <v>8162</v>
      </c>
      <c r="B4337" s="3" t="s">
        <v>8163</v>
      </c>
      <c r="C4337" s="2"/>
      <c r="D4337" s="2" t="s">
        <v>16</v>
      </c>
      <c r="E4337" s="4">
        <f>156.95*(1-Z1%)</f>
        <v>156.95</v>
      </c>
      <c r="F4337" s="2">
        <v>6</v>
      </c>
      <c r="G4337" s="2"/>
    </row>
    <row r="4338" spans="1:26" customHeight="1" ht="18" hidden="true" outlineLevel="3">
      <c r="A4338" s="2" t="s">
        <v>8164</v>
      </c>
      <c r="B4338" s="3" t="s">
        <v>8165</v>
      </c>
      <c r="C4338" s="2"/>
      <c r="D4338" s="2" t="s">
        <v>16</v>
      </c>
      <c r="E4338" s="4">
        <f>224.20*(1-Z1%)</f>
        <v>224.2</v>
      </c>
      <c r="F4338" s="2">
        <v>10</v>
      </c>
      <c r="G4338" s="2"/>
    </row>
    <row r="4339" spans="1:26" customHeight="1" ht="36" hidden="true" outlineLevel="3">
      <c r="A4339" s="2" t="s">
        <v>8166</v>
      </c>
      <c r="B4339" s="3" t="s">
        <v>8167</v>
      </c>
      <c r="C4339" s="2"/>
      <c r="D4339" s="2" t="s">
        <v>16</v>
      </c>
      <c r="E4339" s="4">
        <f>155.10*(1-Z1%)</f>
        <v>155.1</v>
      </c>
      <c r="F4339" s="2">
        <v>5</v>
      </c>
      <c r="G4339" s="2"/>
    </row>
    <row r="4340" spans="1:26" customHeight="1" ht="18" hidden="true" outlineLevel="3">
      <c r="A4340" s="2" t="s">
        <v>8168</v>
      </c>
      <c r="B4340" s="3" t="s">
        <v>8169</v>
      </c>
      <c r="C4340" s="2"/>
      <c r="D4340" s="2" t="s">
        <v>16</v>
      </c>
      <c r="E4340" s="4">
        <f>198.86*(1-Z1%)</f>
        <v>198.86</v>
      </c>
      <c r="F4340" s="2">
        <v>19</v>
      </c>
      <c r="G4340" s="2"/>
    </row>
    <row r="4341" spans="1:26" customHeight="1" ht="18" hidden="true" outlineLevel="3">
      <c r="A4341" s="2" t="s">
        <v>8170</v>
      </c>
      <c r="B4341" s="3" t="s">
        <v>8171</v>
      </c>
      <c r="C4341" s="2"/>
      <c r="D4341" s="2" t="s">
        <v>16</v>
      </c>
      <c r="E4341" s="4">
        <f>113.94*(1-Z1%)</f>
        <v>113.94</v>
      </c>
      <c r="F4341" s="2">
        <v>9</v>
      </c>
      <c r="G4341" s="2"/>
    </row>
    <row r="4342" spans="1:26" customHeight="1" ht="36" hidden="true" outlineLevel="3">
      <c r="A4342" s="2" t="s">
        <v>8172</v>
      </c>
      <c r="B4342" s="3" t="s">
        <v>8173</v>
      </c>
      <c r="C4342" s="2"/>
      <c r="D4342" s="2" t="s">
        <v>16</v>
      </c>
      <c r="E4342" s="4">
        <f>158.98*(1-Z1%)</f>
        <v>158.98</v>
      </c>
      <c r="F4342" s="2">
        <v>3</v>
      </c>
      <c r="G4342" s="2"/>
    </row>
    <row r="4343" spans="1:26" customHeight="1" ht="36" hidden="true" outlineLevel="3">
      <c r="A4343" s="2" t="s">
        <v>8174</v>
      </c>
      <c r="B4343" s="3" t="s">
        <v>8175</v>
      </c>
      <c r="C4343" s="2"/>
      <c r="D4343" s="2" t="s">
        <v>16</v>
      </c>
      <c r="E4343" s="4">
        <f>106.33*(1-Z1%)</f>
        <v>106.33</v>
      </c>
      <c r="F4343" s="2">
        <v>1</v>
      </c>
      <c r="G4343" s="2"/>
    </row>
    <row r="4344" spans="1:26" customHeight="1" ht="18" hidden="true" outlineLevel="3">
      <c r="A4344" s="2" t="s">
        <v>8176</v>
      </c>
      <c r="B4344" s="3" t="s">
        <v>8177</v>
      </c>
      <c r="C4344" s="2"/>
      <c r="D4344" s="2" t="s">
        <v>16</v>
      </c>
      <c r="E4344" s="4">
        <f>262.18*(1-Z1%)</f>
        <v>262.18</v>
      </c>
      <c r="F4344" s="2">
        <v>16</v>
      </c>
      <c r="G4344" s="2"/>
    </row>
    <row r="4345" spans="1:26" customHeight="1" ht="36" hidden="true" outlineLevel="3">
      <c r="A4345" s="2" t="s">
        <v>8178</v>
      </c>
      <c r="B4345" s="3" t="s">
        <v>8179</v>
      </c>
      <c r="C4345" s="2"/>
      <c r="D4345" s="2" t="s">
        <v>16</v>
      </c>
      <c r="E4345" s="4">
        <f>206.24*(1-Z1%)</f>
        <v>206.24</v>
      </c>
      <c r="F4345" s="2">
        <v>1</v>
      </c>
      <c r="G4345" s="2"/>
    </row>
    <row r="4346" spans="1:26" customHeight="1" ht="36" hidden="true" outlineLevel="3">
      <c r="A4346" s="2" t="s">
        <v>8180</v>
      </c>
      <c r="B4346" s="3" t="s">
        <v>8181</v>
      </c>
      <c r="C4346" s="2"/>
      <c r="D4346" s="2" t="s">
        <v>16</v>
      </c>
      <c r="E4346" s="4">
        <f>151.37*(1-Z1%)</f>
        <v>151.37</v>
      </c>
      <c r="F4346" s="2">
        <v>11</v>
      </c>
      <c r="G4346" s="2"/>
    </row>
    <row r="4347" spans="1:26" customHeight="1" ht="36" hidden="true" outlineLevel="3">
      <c r="A4347" s="2" t="s">
        <v>8182</v>
      </c>
      <c r="B4347" s="3" t="s">
        <v>8183</v>
      </c>
      <c r="C4347" s="2"/>
      <c r="D4347" s="2" t="s">
        <v>16</v>
      </c>
      <c r="E4347" s="4">
        <f>196.73*(1-Z1%)</f>
        <v>196.73</v>
      </c>
      <c r="F4347" s="2">
        <v>6</v>
      </c>
      <c r="G4347" s="2"/>
    </row>
    <row r="4348" spans="1:26" customHeight="1" ht="36" hidden="true" outlineLevel="3">
      <c r="A4348" s="2" t="s">
        <v>8184</v>
      </c>
      <c r="B4348" s="3" t="s">
        <v>8185</v>
      </c>
      <c r="C4348" s="2"/>
      <c r="D4348" s="2" t="s">
        <v>16</v>
      </c>
      <c r="E4348" s="4">
        <f>179.30*(1-Z1%)</f>
        <v>179.3</v>
      </c>
      <c r="F4348" s="2">
        <v>6</v>
      </c>
      <c r="G4348" s="2"/>
    </row>
    <row r="4349" spans="1:26" customHeight="1" ht="36" hidden="true" outlineLevel="3">
      <c r="A4349" s="2" t="s">
        <v>8186</v>
      </c>
      <c r="B4349" s="3" t="s">
        <v>8187</v>
      </c>
      <c r="C4349" s="2"/>
      <c r="D4349" s="2" t="s">
        <v>16</v>
      </c>
      <c r="E4349" s="4">
        <f>213.47*(1-Z1%)</f>
        <v>213.47</v>
      </c>
      <c r="F4349" s="2">
        <v>1</v>
      </c>
      <c r="G4349" s="2"/>
    </row>
    <row r="4350" spans="1:26" customHeight="1" ht="36" hidden="true" outlineLevel="3">
      <c r="A4350" s="2" t="s">
        <v>8188</v>
      </c>
      <c r="B4350" s="3" t="s">
        <v>8189</v>
      </c>
      <c r="C4350" s="2"/>
      <c r="D4350" s="2" t="s">
        <v>16</v>
      </c>
      <c r="E4350" s="4">
        <f>201.99*(1-Z1%)</f>
        <v>201.99</v>
      </c>
      <c r="F4350" s="2">
        <v>5</v>
      </c>
      <c r="G4350" s="2"/>
    </row>
    <row r="4351" spans="1:26" customHeight="1" ht="18" hidden="true" outlineLevel="3">
      <c r="A4351" s="2" t="s">
        <v>8190</v>
      </c>
      <c r="B4351" s="3" t="s">
        <v>8191</v>
      </c>
      <c r="C4351" s="2"/>
      <c r="D4351" s="2" t="s">
        <v>16</v>
      </c>
      <c r="E4351" s="4">
        <f>330.69*(1-Z1%)</f>
        <v>330.69</v>
      </c>
      <c r="F4351" s="2">
        <v>4</v>
      </c>
      <c r="G4351" s="2"/>
    </row>
    <row r="4352" spans="1:26" customHeight="1" ht="36" hidden="true" outlineLevel="3">
      <c r="A4352" s="2" t="s">
        <v>8192</v>
      </c>
      <c r="B4352" s="3" t="s">
        <v>8193</v>
      </c>
      <c r="C4352" s="2"/>
      <c r="D4352" s="2" t="s">
        <v>16</v>
      </c>
      <c r="E4352" s="4">
        <f>289.47*(1-Z1%)</f>
        <v>289.47</v>
      </c>
      <c r="F4352" s="2">
        <v>6</v>
      </c>
      <c r="G4352" s="2"/>
    </row>
    <row r="4353" spans="1:26" customHeight="1" ht="36" hidden="true" outlineLevel="3">
      <c r="A4353" s="2" t="s">
        <v>8194</v>
      </c>
      <c r="B4353" s="3" t="s">
        <v>8195</v>
      </c>
      <c r="C4353" s="2"/>
      <c r="D4353" s="2" t="s">
        <v>16</v>
      </c>
      <c r="E4353" s="4">
        <f>240.08*(1-Z1%)</f>
        <v>240.08</v>
      </c>
      <c r="F4353" s="2">
        <v>8</v>
      </c>
      <c r="G4353" s="2"/>
    </row>
    <row r="4354" spans="1:26" customHeight="1" ht="36" hidden="true" outlineLevel="3">
      <c r="A4354" s="2" t="s">
        <v>8196</v>
      </c>
      <c r="B4354" s="3" t="s">
        <v>8197</v>
      </c>
      <c r="C4354" s="2"/>
      <c r="D4354" s="2" t="s">
        <v>16</v>
      </c>
      <c r="E4354" s="4">
        <f>223.43*(1-Z1%)</f>
        <v>223.43</v>
      </c>
      <c r="F4354" s="2">
        <v>3</v>
      </c>
      <c r="G4354" s="2"/>
    </row>
    <row r="4355" spans="1:26" customHeight="1" ht="36" hidden="true" outlineLevel="3">
      <c r="A4355" s="2" t="s">
        <v>8198</v>
      </c>
      <c r="B4355" s="3" t="s">
        <v>8199</v>
      </c>
      <c r="C4355" s="2"/>
      <c r="D4355" s="2" t="s">
        <v>16</v>
      </c>
      <c r="E4355" s="4">
        <f>316.51*(1-Z1%)</f>
        <v>316.51</v>
      </c>
      <c r="F4355" s="2">
        <v>22</v>
      </c>
      <c r="G4355" s="2"/>
    </row>
    <row r="4356" spans="1:26" customHeight="1" ht="36" hidden="true" outlineLevel="3">
      <c r="A4356" s="2" t="s">
        <v>8200</v>
      </c>
      <c r="B4356" s="3" t="s">
        <v>8201</v>
      </c>
      <c r="C4356" s="2"/>
      <c r="D4356" s="2" t="s">
        <v>16</v>
      </c>
      <c r="E4356" s="4">
        <f>472.50*(1-Z1%)</f>
        <v>472.5</v>
      </c>
      <c r="F4356" s="2">
        <v>4</v>
      </c>
      <c r="G4356" s="2"/>
    </row>
    <row r="4357" spans="1:26" customHeight="1" ht="36" hidden="true" outlineLevel="3">
      <c r="A4357" s="2" t="s">
        <v>8202</v>
      </c>
      <c r="B4357" s="3" t="s">
        <v>8203</v>
      </c>
      <c r="C4357" s="2"/>
      <c r="D4357" s="2" t="s">
        <v>16</v>
      </c>
      <c r="E4357" s="4">
        <f>449.39*(1-Z1%)</f>
        <v>449.39</v>
      </c>
      <c r="F4357" s="2">
        <v>8</v>
      </c>
      <c r="G4357" s="2"/>
    </row>
    <row r="4358" spans="1:26" customHeight="1" ht="36" hidden="true" outlineLevel="3">
      <c r="A4358" s="2" t="s">
        <v>8204</v>
      </c>
      <c r="B4358" s="3" t="s">
        <v>8205</v>
      </c>
      <c r="C4358" s="2"/>
      <c r="D4358" s="2" t="s">
        <v>16</v>
      </c>
      <c r="E4358" s="4">
        <f>483.71*(1-Z1%)</f>
        <v>483.71</v>
      </c>
      <c r="F4358" s="2">
        <v>5</v>
      </c>
      <c r="G4358" s="2"/>
    </row>
    <row r="4359" spans="1:26" customHeight="1" ht="18" hidden="true" outlineLevel="3">
      <c r="A4359" s="2" t="s">
        <v>8206</v>
      </c>
      <c r="B4359" s="3" t="s">
        <v>8207</v>
      </c>
      <c r="C4359" s="2"/>
      <c r="D4359" s="2" t="s">
        <v>16</v>
      </c>
      <c r="E4359" s="4">
        <f>324.35*(1-Z1%)</f>
        <v>324.35</v>
      </c>
      <c r="F4359" s="2">
        <v>1</v>
      </c>
      <c r="G4359" s="2"/>
    </row>
    <row r="4360" spans="1:26" customHeight="1" ht="36" hidden="true" outlineLevel="3">
      <c r="A4360" s="2" t="s">
        <v>8208</v>
      </c>
      <c r="B4360" s="3" t="s">
        <v>8209</v>
      </c>
      <c r="C4360" s="2"/>
      <c r="D4360" s="2" t="s">
        <v>16</v>
      </c>
      <c r="E4360" s="4">
        <f>410.39*(1-Z1%)</f>
        <v>410.39</v>
      </c>
      <c r="F4360" s="2">
        <v>3</v>
      </c>
      <c r="G4360" s="2"/>
    </row>
    <row r="4361" spans="1:26" customHeight="1" ht="36" hidden="true" outlineLevel="3">
      <c r="A4361" s="2" t="s">
        <v>8210</v>
      </c>
      <c r="B4361" s="3" t="s">
        <v>8211</v>
      </c>
      <c r="C4361" s="2"/>
      <c r="D4361" s="2" t="s">
        <v>16</v>
      </c>
      <c r="E4361" s="4">
        <f>474.80*(1-Z1%)</f>
        <v>474.8</v>
      </c>
      <c r="F4361" s="2">
        <v>3</v>
      </c>
      <c r="G4361" s="2"/>
    </row>
    <row r="4362" spans="1:26" customHeight="1" ht="18" hidden="true" outlineLevel="3">
      <c r="A4362" s="2" t="s">
        <v>8212</v>
      </c>
      <c r="B4362" s="3" t="s">
        <v>8213</v>
      </c>
      <c r="C4362" s="2"/>
      <c r="D4362" s="2" t="s">
        <v>16</v>
      </c>
      <c r="E4362" s="4">
        <f>816.81*(1-Z1%)</f>
        <v>816.81</v>
      </c>
      <c r="F4362" s="2">
        <v>3</v>
      </c>
      <c r="G4362" s="2"/>
    </row>
    <row r="4363" spans="1:26" customHeight="1" ht="36" hidden="true" outlineLevel="3">
      <c r="A4363" s="2" t="s">
        <v>8214</v>
      </c>
      <c r="B4363" s="3" t="s">
        <v>8215</v>
      </c>
      <c r="C4363" s="2"/>
      <c r="D4363" s="2" t="s">
        <v>16</v>
      </c>
      <c r="E4363" s="4">
        <f>537.88*(1-Z1%)</f>
        <v>537.88</v>
      </c>
      <c r="F4363" s="2">
        <v>5</v>
      </c>
      <c r="G4363" s="2"/>
    </row>
    <row r="4364" spans="1:26" customHeight="1" ht="18" hidden="true" outlineLevel="3">
      <c r="A4364" s="2" t="s">
        <v>8216</v>
      </c>
      <c r="B4364" s="3" t="s">
        <v>8217</v>
      </c>
      <c r="C4364" s="2"/>
      <c r="D4364" s="2" t="s">
        <v>16</v>
      </c>
      <c r="E4364" s="4">
        <f>547.26*(1-Z1%)</f>
        <v>547.26</v>
      </c>
      <c r="F4364" s="2">
        <v>2</v>
      </c>
      <c r="G4364" s="2"/>
    </row>
    <row r="4365" spans="1:26" customHeight="1" ht="36" hidden="true" outlineLevel="3">
      <c r="A4365" s="2" t="s">
        <v>8218</v>
      </c>
      <c r="B4365" s="3" t="s">
        <v>8219</v>
      </c>
      <c r="C4365" s="2"/>
      <c r="D4365" s="2" t="s">
        <v>16</v>
      </c>
      <c r="E4365" s="4">
        <f>194.61*(1-Z1%)</f>
        <v>194.61</v>
      </c>
      <c r="F4365" s="2">
        <v>5</v>
      </c>
      <c r="G4365" s="2"/>
    </row>
    <row r="4366" spans="1:26" customHeight="1" ht="18" hidden="true" outlineLevel="3">
      <c r="A4366" s="2" t="s">
        <v>8220</v>
      </c>
      <c r="B4366" s="3" t="s">
        <v>8221</v>
      </c>
      <c r="C4366" s="2"/>
      <c r="D4366" s="2" t="s">
        <v>16</v>
      </c>
      <c r="E4366" s="4">
        <f>210.72*(1-Z1%)</f>
        <v>210.72</v>
      </c>
      <c r="F4366" s="2">
        <v>4</v>
      </c>
      <c r="G4366" s="2"/>
    </row>
    <row r="4367" spans="1:26" customHeight="1" ht="36" hidden="true" outlineLevel="3">
      <c r="A4367" s="2" t="s">
        <v>8222</v>
      </c>
      <c r="B4367" s="3" t="s">
        <v>8223</v>
      </c>
      <c r="C4367" s="2"/>
      <c r="D4367" s="2" t="s">
        <v>16</v>
      </c>
      <c r="E4367" s="4">
        <f>303.64*(1-Z1%)</f>
        <v>303.64</v>
      </c>
      <c r="F4367" s="2">
        <v>6</v>
      </c>
      <c r="G4367" s="2"/>
    </row>
    <row r="4368" spans="1:26" customHeight="1" ht="36" hidden="true" outlineLevel="3">
      <c r="A4368" s="2" t="s">
        <v>8224</v>
      </c>
      <c r="B4368" s="3" t="s">
        <v>8225</v>
      </c>
      <c r="C4368" s="2"/>
      <c r="D4368" s="2" t="s">
        <v>16</v>
      </c>
      <c r="E4368" s="4">
        <f>293.05*(1-Z1%)</f>
        <v>293.05</v>
      </c>
      <c r="F4368" s="2">
        <v>1</v>
      </c>
      <c r="G4368" s="2"/>
    </row>
    <row r="4369" spans="1:26" customHeight="1" ht="18" hidden="true" outlineLevel="3">
      <c r="A4369" s="2" t="s">
        <v>8226</v>
      </c>
      <c r="B4369" s="3" t="s">
        <v>8227</v>
      </c>
      <c r="C4369" s="2"/>
      <c r="D4369" s="2" t="s">
        <v>16</v>
      </c>
      <c r="E4369" s="4">
        <f>395.91*(1-Z1%)</f>
        <v>395.91</v>
      </c>
      <c r="F4369" s="2">
        <v>4</v>
      </c>
      <c r="G4369" s="2"/>
    </row>
    <row r="4370" spans="1:26" customHeight="1" ht="36" hidden="true" outlineLevel="3">
      <c r="A4370" s="2" t="s">
        <v>8228</v>
      </c>
      <c r="B4370" s="3" t="s">
        <v>8229</v>
      </c>
      <c r="C4370" s="2"/>
      <c r="D4370" s="2" t="s">
        <v>16</v>
      </c>
      <c r="E4370" s="4">
        <f>450.24*(1-Z1%)</f>
        <v>450.24</v>
      </c>
      <c r="F4370" s="2">
        <v>2</v>
      </c>
      <c r="G4370" s="2"/>
    </row>
    <row r="4371" spans="1:26" customHeight="1" ht="36" hidden="true" outlineLevel="3">
      <c r="A4371" s="2" t="s">
        <v>8230</v>
      </c>
      <c r="B4371" s="3" t="s">
        <v>8231</v>
      </c>
      <c r="C4371" s="2"/>
      <c r="D4371" s="2" t="s">
        <v>16</v>
      </c>
      <c r="E4371" s="4">
        <f>459.80*(1-Z1%)</f>
        <v>459.8</v>
      </c>
      <c r="F4371" s="2">
        <v>31</v>
      </c>
      <c r="G4371" s="2"/>
    </row>
    <row r="4372" spans="1:26" customHeight="1" ht="18" hidden="true" outlineLevel="3">
      <c r="A4372" s="2" t="s">
        <v>8232</v>
      </c>
      <c r="B4372" s="3" t="s">
        <v>8233</v>
      </c>
      <c r="C4372" s="2"/>
      <c r="D4372" s="2" t="s">
        <v>16</v>
      </c>
      <c r="E4372" s="4">
        <f>498.36*(1-Z1%)</f>
        <v>498.36</v>
      </c>
      <c r="F4372" s="2">
        <v>2</v>
      </c>
      <c r="G4372" s="2"/>
    </row>
    <row r="4373" spans="1:26" customHeight="1" ht="36" hidden="true" outlineLevel="3">
      <c r="A4373" s="2" t="s">
        <v>8234</v>
      </c>
      <c r="B4373" s="3" t="s">
        <v>8235</v>
      </c>
      <c r="C4373" s="2"/>
      <c r="D4373" s="2" t="s">
        <v>16</v>
      </c>
      <c r="E4373" s="4">
        <f>525.56*(1-Z1%)</f>
        <v>525.56</v>
      </c>
      <c r="F4373" s="2">
        <v>2</v>
      </c>
      <c r="G4373" s="2"/>
    </row>
    <row r="4374" spans="1:26" customHeight="1" ht="18" hidden="true" outlineLevel="3">
      <c r="A4374" s="2" t="s">
        <v>8236</v>
      </c>
      <c r="B4374" s="3" t="s">
        <v>8237</v>
      </c>
      <c r="C4374" s="2"/>
      <c r="D4374" s="2" t="s">
        <v>16</v>
      </c>
      <c r="E4374" s="4">
        <f>95.90*(1-Z1%)</f>
        <v>95.9</v>
      </c>
      <c r="F4374" s="2">
        <v>1</v>
      </c>
      <c r="G4374" s="2"/>
    </row>
    <row r="4375" spans="1:26" customHeight="1" ht="18" hidden="true" outlineLevel="3">
      <c r="A4375" s="2" t="s">
        <v>8238</v>
      </c>
      <c r="B4375" s="3" t="s">
        <v>8239</v>
      </c>
      <c r="C4375" s="2"/>
      <c r="D4375" s="2" t="s">
        <v>16</v>
      </c>
      <c r="E4375" s="4">
        <f>109.63*(1-Z1%)</f>
        <v>109.63</v>
      </c>
      <c r="F4375" s="2">
        <v>8</v>
      </c>
      <c r="G4375" s="2"/>
    </row>
    <row r="4376" spans="1:26" customHeight="1" ht="36" hidden="true" outlineLevel="3">
      <c r="A4376" s="2" t="s">
        <v>8240</v>
      </c>
      <c r="B4376" s="3" t="s">
        <v>8241</v>
      </c>
      <c r="C4376" s="2"/>
      <c r="D4376" s="2" t="s">
        <v>16</v>
      </c>
      <c r="E4376" s="4">
        <f>104.82*(1-Z1%)</f>
        <v>104.82</v>
      </c>
      <c r="F4376" s="2">
        <v>4</v>
      </c>
      <c r="G4376" s="2"/>
    </row>
    <row r="4377" spans="1:26" customHeight="1" ht="35" hidden="true" outlineLevel="3">
      <c r="A4377" s="5" t="s">
        <v>8242</v>
      </c>
      <c r="B4377" s="5"/>
      <c r="C4377" s="5"/>
      <c r="D4377" s="5"/>
      <c r="E4377" s="5"/>
      <c r="F4377" s="5"/>
      <c r="G4377" s="5"/>
    </row>
    <row r="4378" spans="1:26" customHeight="1" ht="36" hidden="true" outlineLevel="3">
      <c r="A4378" s="2" t="s">
        <v>8243</v>
      </c>
      <c r="B4378" s="3" t="s">
        <v>8244</v>
      </c>
      <c r="C4378" s="2"/>
      <c r="D4378" s="2" t="s">
        <v>16</v>
      </c>
      <c r="E4378" s="4">
        <f>117.18*(1-Z1%)</f>
        <v>117.18</v>
      </c>
      <c r="F4378" s="2">
        <v>7</v>
      </c>
      <c r="G4378" s="2"/>
    </row>
    <row r="4379" spans="1:26" customHeight="1" ht="36" hidden="true" outlineLevel="3">
      <c r="A4379" s="2" t="s">
        <v>8245</v>
      </c>
      <c r="B4379" s="3" t="s">
        <v>8246</v>
      </c>
      <c r="C4379" s="2"/>
      <c r="D4379" s="2" t="s">
        <v>16</v>
      </c>
      <c r="E4379" s="4">
        <f>113.62*(1-Z1%)</f>
        <v>113.62</v>
      </c>
      <c r="F4379" s="2">
        <v>2</v>
      </c>
      <c r="G4379" s="2"/>
    </row>
    <row r="4380" spans="1:26" customHeight="1" ht="36" hidden="true" outlineLevel="3">
      <c r="A4380" s="2" t="s">
        <v>8247</v>
      </c>
      <c r="B4380" s="3" t="s">
        <v>8248</v>
      </c>
      <c r="C4380" s="2"/>
      <c r="D4380" s="2" t="s">
        <v>16</v>
      </c>
      <c r="E4380" s="4">
        <f>153.86*(1-Z1%)</f>
        <v>153.86</v>
      </c>
      <c r="F4380" s="2">
        <v>3</v>
      </c>
      <c r="G4380" s="2"/>
    </row>
    <row r="4381" spans="1:26" customHeight="1" ht="35" hidden="true" outlineLevel="3">
      <c r="A4381" s="5" t="s">
        <v>8249</v>
      </c>
      <c r="B4381" s="5"/>
      <c r="C4381" s="5"/>
      <c r="D4381" s="5"/>
      <c r="E4381" s="5"/>
      <c r="F4381" s="5"/>
      <c r="G4381" s="5"/>
    </row>
    <row r="4382" spans="1:26" customHeight="1" ht="18" hidden="true" outlineLevel="3">
      <c r="A4382" s="2" t="s">
        <v>8250</v>
      </c>
      <c r="B4382" s="3" t="s">
        <v>8251</v>
      </c>
      <c r="C4382" s="2"/>
      <c r="D4382" s="2" t="s">
        <v>16</v>
      </c>
      <c r="E4382" s="4">
        <f>219.74*(1-Z1%)</f>
        <v>219.74</v>
      </c>
      <c r="F4382" s="2">
        <v>69</v>
      </c>
      <c r="G4382" s="2"/>
    </row>
    <row r="4383" spans="1:26" customHeight="1" ht="18" hidden="true" outlineLevel="3">
      <c r="A4383" s="2" t="s">
        <v>8252</v>
      </c>
      <c r="B4383" s="3" t="s">
        <v>8253</v>
      </c>
      <c r="C4383" s="2"/>
      <c r="D4383" s="2" t="s">
        <v>16</v>
      </c>
      <c r="E4383" s="4">
        <f>399.38*(1-Z1%)</f>
        <v>399.38</v>
      </c>
      <c r="F4383" s="2">
        <v>1</v>
      </c>
      <c r="G4383" s="2"/>
    </row>
    <row r="4384" spans="1:26" customHeight="1" ht="18" hidden="true" outlineLevel="3">
      <c r="A4384" s="2" t="s">
        <v>8254</v>
      </c>
      <c r="B4384" s="3" t="s">
        <v>8255</v>
      </c>
      <c r="C4384" s="2"/>
      <c r="D4384" s="2" t="s">
        <v>16</v>
      </c>
      <c r="E4384" s="4">
        <f>949.02*(1-Z1%)</f>
        <v>949.02</v>
      </c>
      <c r="F4384" s="2">
        <v>2</v>
      </c>
      <c r="G4384" s="2"/>
    </row>
    <row r="4385" spans="1:26" customHeight="1" ht="35" hidden="true" outlineLevel="2">
      <c r="A4385" s="5" t="s">
        <v>2711</v>
      </c>
      <c r="B4385" s="5"/>
      <c r="C4385" s="5"/>
      <c r="D4385" s="5"/>
      <c r="E4385" s="5"/>
      <c r="F4385" s="5"/>
      <c r="G4385" s="5"/>
    </row>
    <row r="4386" spans="1:26" customHeight="1" ht="35" hidden="true" outlineLevel="3">
      <c r="A4386" s="5" t="s">
        <v>8256</v>
      </c>
      <c r="B4386" s="5"/>
      <c r="C4386" s="5"/>
      <c r="D4386" s="5"/>
      <c r="E4386" s="5"/>
      <c r="F4386" s="5"/>
      <c r="G4386" s="5"/>
    </row>
    <row r="4387" spans="1:26" customHeight="1" ht="36" hidden="true" outlineLevel="3">
      <c r="A4387" s="2" t="s">
        <v>8257</v>
      </c>
      <c r="B4387" s="3" t="s">
        <v>8258</v>
      </c>
      <c r="C4387" s="2"/>
      <c r="D4387" s="2" t="s">
        <v>16</v>
      </c>
      <c r="E4387" s="4">
        <f>297.77*(1-Z1%)</f>
        <v>297.77</v>
      </c>
      <c r="F4387" s="2">
        <v>5</v>
      </c>
      <c r="G4387" s="2"/>
    </row>
    <row r="4388" spans="1:26" customHeight="1" ht="36" hidden="true" outlineLevel="3">
      <c r="A4388" s="2" t="s">
        <v>8259</v>
      </c>
      <c r="B4388" s="3" t="s">
        <v>8260</v>
      </c>
      <c r="C4388" s="2"/>
      <c r="D4388" s="2" t="s">
        <v>16</v>
      </c>
      <c r="E4388" s="4">
        <f>380.13*(1-Z1%)</f>
        <v>380.13</v>
      </c>
      <c r="F4388" s="2">
        <v>6</v>
      </c>
      <c r="G4388" s="2"/>
    </row>
    <row r="4389" spans="1:26" customHeight="1" ht="18" hidden="true" outlineLevel="3">
      <c r="A4389" s="2" t="s">
        <v>8261</v>
      </c>
      <c r="B4389" s="3" t="s">
        <v>8262</v>
      </c>
      <c r="C4389" s="2"/>
      <c r="D4389" s="2" t="s">
        <v>16</v>
      </c>
      <c r="E4389" s="4">
        <f>406.60*(1-Z1%)</f>
        <v>406.6</v>
      </c>
      <c r="F4389" s="2">
        <v>2</v>
      </c>
      <c r="G4389" s="2"/>
    </row>
    <row r="4390" spans="1:26" customHeight="1" ht="18" hidden="true" outlineLevel="3">
      <c r="A4390" s="2" t="s">
        <v>8263</v>
      </c>
      <c r="B4390" s="3" t="s">
        <v>8264</v>
      </c>
      <c r="C4390" s="2"/>
      <c r="D4390" s="2" t="s">
        <v>16</v>
      </c>
      <c r="E4390" s="4">
        <f>603.41*(1-Z1%)</f>
        <v>603.41</v>
      </c>
      <c r="F4390" s="2">
        <v>2</v>
      </c>
      <c r="G4390" s="2"/>
    </row>
    <row r="4391" spans="1:26" customHeight="1" ht="18" hidden="true" outlineLevel="3">
      <c r="A4391" s="2" t="s">
        <v>8265</v>
      </c>
      <c r="B4391" s="3" t="s">
        <v>8266</v>
      </c>
      <c r="C4391" s="2"/>
      <c r="D4391" s="2" t="s">
        <v>16</v>
      </c>
      <c r="E4391" s="4">
        <f>269.20*(1-Z1%)</f>
        <v>269.2</v>
      </c>
      <c r="F4391" s="2">
        <v>2</v>
      </c>
      <c r="G4391" s="2"/>
    </row>
    <row r="4392" spans="1:26" customHeight="1" ht="36" hidden="true" outlineLevel="3">
      <c r="A4392" s="2" t="s">
        <v>8267</v>
      </c>
      <c r="B4392" s="3" t="s">
        <v>8268</v>
      </c>
      <c r="C4392" s="2"/>
      <c r="D4392" s="2" t="s">
        <v>16</v>
      </c>
      <c r="E4392" s="4">
        <f>301.91*(1-Z1%)</f>
        <v>301.91</v>
      </c>
      <c r="F4392" s="2">
        <v>3</v>
      </c>
      <c r="G4392" s="2"/>
    </row>
    <row r="4393" spans="1:26" customHeight="1" ht="18" hidden="true" outlineLevel="3">
      <c r="A4393" s="2" t="s">
        <v>8269</v>
      </c>
      <c r="B4393" s="3" t="s">
        <v>8270</v>
      </c>
      <c r="C4393" s="2"/>
      <c r="D4393" s="2" t="s">
        <v>16</v>
      </c>
      <c r="E4393" s="4">
        <f>356.24*(1-Z1%)</f>
        <v>356.24</v>
      </c>
      <c r="F4393" s="2">
        <v>4</v>
      </c>
      <c r="G4393" s="2"/>
    </row>
    <row r="4394" spans="1:26" customHeight="1" ht="36" hidden="true" outlineLevel="3">
      <c r="A4394" s="2" t="s">
        <v>8271</v>
      </c>
      <c r="B4394" s="3" t="s">
        <v>8272</v>
      </c>
      <c r="C4394" s="2"/>
      <c r="D4394" s="2" t="s">
        <v>16</v>
      </c>
      <c r="E4394" s="4">
        <f>431.01*(1-Z1%)</f>
        <v>431.01</v>
      </c>
      <c r="F4394" s="2">
        <v>2</v>
      </c>
      <c r="G4394" s="2"/>
    </row>
    <row r="4395" spans="1:26" customHeight="1" ht="36" hidden="true" outlineLevel="3">
      <c r="A4395" s="2" t="s">
        <v>8273</v>
      </c>
      <c r="B4395" s="3" t="s">
        <v>8274</v>
      </c>
      <c r="C4395" s="2"/>
      <c r="D4395" s="2" t="s">
        <v>16</v>
      </c>
      <c r="E4395" s="4">
        <f>470.16*(1-Z1%)</f>
        <v>470.16</v>
      </c>
      <c r="F4395" s="2">
        <v>2</v>
      </c>
      <c r="G4395" s="2"/>
    </row>
    <row r="4396" spans="1:26" customHeight="1" ht="35" hidden="true" outlineLevel="3">
      <c r="A4396" s="5" t="s">
        <v>8275</v>
      </c>
      <c r="B4396" s="5"/>
      <c r="C4396" s="5"/>
      <c r="D4396" s="5"/>
      <c r="E4396" s="5"/>
      <c r="F4396" s="5"/>
      <c r="G4396" s="5"/>
    </row>
    <row r="4397" spans="1:26" customHeight="1" ht="18" hidden="true" outlineLevel="3">
      <c r="A4397" s="2" t="s">
        <v>8276</v>
      </c>
      <c r="B4397" s="3" t="s">
        <v>8277</v>
      </c>
      <c r="C4397" s="2"/>
      <c r="D4397" s="2" t="s">
        <v>16</v>
      </c>
      <c r="E4397" s="4">
        <f>601.07*(1-Z1%)</f>
        <v>601.07</v>
      </c>
      <c r="F4397" s="2">
        <v>2</v>
      </c>
      <c r="G4397" s="2"/>
    </row>
    <row r="4398" spans="1:26" customHeight="1" ht="36" hidden="true" outlineLevel="3">
      <c r="A4398" s="2" t="s">
        <v>8278</v>
      </c>
      <c r="B4398" s="3" t="s">
        <v>8279</v>
      </c>
      <c r="C4398" s="2"/>
      <c r="D4398" s="2" t="s">
        <v>16</v>
      </c>
      <c r="E4398" s="4">
        <f>1545.08*(1-Z1%)</f>
        <v>1545.08</v>
      </c>
      <c r="F4398" s="2">
        <v>2</v>
      </c>
      <c r="G4398" s="2"/>
    </row>
    <row r="4399" spans="1:26" customHeight="1" ht="36" hidden="true" outlineLevel="3">
      <c r="A4399" s="2" t="s">
        <v>8280</v>
      </c>
      <c r="B4399" s="3" t="s">
        <v>8281</v>
      </c>
      <c r="C4399" s="2"/>
      <c r="D4399" s="2" t="s">
        <v>16</v>
      </c>
      <c r="E4399" s="4">
        <f>2269.24*(1-Z1%)</f>
        <v>2269.24</v>
      </c>
      <c r="F4399" s="2">
        <v>1</v>
      </c>
      <c r="G4399" s="2"/>
    </row>
    <row r="4400" spans="1:26" customHeight="1" ht="36" hidden="true" outlineLevel="3">
      <c r="A4400" s="2" t="s">
        <v>8282</v>
      </c>
      <c r="B4400" s="3" t="s">
        <v>8283</v>
      </c>
      <c r="C4400" s="2"/>
      <c r="D4400" s="2" t="s">
        <v>16</v>
      </c>
      <c r="E4400" s="4">
        <f>278.77*(1-Z1%)</f>
        <v>278.77</v>
      </c>
      <c r="F4400" s="2">
        <v>1</v>
      </c>
      <c r="G4400" s="2"/>
    </row>
    <row r="4401" spans="1:26" customHeight="1" ht="36" hidden="true" outlineLevel="3">
      <c r="A4401" s="2" t="s">
        <v>8284</v>
      </c>
      <c r="B4401" s="3" t="s">
        <v>8285</v>
      </c>
      <c r="C4401" s="2"/>
      <c r="D4401" s="2" t="s">
        <v>16</v>
      </c>
      <c r="E4401" s="4">
        <f>111.48*(1-Z1%)</f>
        <v>111.48</v>
      </c>
      <c r="F4401" s="2">
        <v>6</v>
      </c>
      <c r="G4401" s="2"/>
    </row>
    <row r="4402" spans="1:26" customHeight="1" ht="36" hidden="true" outlineLevel="3">
      <c r="A4402" s="2" t="s">
        <v>8286</v>
      </c>
      <c r="B4402" s="3" t="s">
        <v>8287</v>
      </c>
      <c r="C4402" s="2"/>
      <c r="D4402" s="2" t="s">
        <v>16</v>
      </c>
      <c r="E4402" s="4">
        <f>280.02*(1-Z1%)</f>
        <v>280.02</v>
      </c>
      <c r="F4402" s="2">
        <v>1</v>
      </c>
      <c r="G4402" s="2"/>
    </row>
    <row r="4403" spans="1:26" customHeight="1" ht="36" hidden="true" outlineLevel="3">
      <c r="A4403" s="2" t="s">
        <v>8288</v>
      </c>
      <c r="B4403" s="3" t="s">
        <v>8289</v>
      </c>
      <c r="C4403" s="2"/>
      <c r="D4403" s="2" t="s">
        <v>16</v>
      </c>
      <c r="E4403" s="4">
        <f>303.64*(1-Z1%)</f>
        <v>303.64</v>
      </c>
      <c r="F4403" s="2">
        <v>2</v>
      </c>
      <c r="G4403" s="2"/>
    </row>
    <row r="4404" spans="1:26" customHeight="1" ht="36" hidden="true" outlineLevel="3">
      <c r="A4404" s="2" t="s">
        <v>8290</v>
      </c>
      <c r="B4404" s="3" t="s">
        <v>8291</v>
      </c>
      <c r="C4404" s="2"/>
      <c r="D4404" s="2" t="s">
        <v>16</v>
      </c>
      <c r="E4404" s="4">
        <f>432.47*(1-Z1%)</f>
        <v>432.47</v>
      </c>
      <c r="F4404" s="2">
        <v>2</v>
      </c>
      <c r="G4404" s="2"/>
    </row>
    <row r="4405" spans="1:26" customHeight="1" ht="36" hidden="true" outlineLevel="3">
      <c r="A4405" s="2" t="s">
        <v>8292</v>
      </c>
      <c r="B4405" s="3" t="s">
        <v>8293</v>
      </c>
      <c r="C4405" s="2"/>
      <c r="D4405" s="2" t="s">
        <v>16</v>
      </c>
      <c r="E4405" s="4">
        <f>252.60*(1-Z1%)</f>
        <v>252.6</v>
      </c>
      <c r="F4405" s="2">
        <v>1</v>
      </c>
      <c r="G4405" s="2"/>
    </row>
    <row r="4406" spans="1:26" customHeight="1" ht="36" hidden="true" outlineLevel="3">
      <c r="A4406" s="2" t="s">
        <v>8294</v>
      </c>
      <c r="B4406" s="3" t="s">
        <v>8295</v>
      </c>
      <c r="C4406" s="2"/>
      <c r="D4406" s="2" t="s">
        <v>16</v>
      </c>
      <c r="E4406" s="4">
        <f>340.59*(1-Z1%)</f>
        <v>340.59</v>
      </c>
      <c r="F4406" s="2">
        <v>2</v>
      </c>
      <c r="G4406" s="2"/>
    </row>
    <row r="4407" spans="1:26" customHeight="1" ht="36" hidden="true" outlineLevel="3">
      <c r="A4407" s="2" t="s">
        <v>8296</v>
      </c>
      <c r="B4407" s="3" t="s">
        <v>8297</v>
      </c>
      <c r="C4407" s="2"/>
      <c r="D4407" s="2" t="s">
        <v>16</v>
      </c>
      <c r="E4407" s="4">
        <f>551.31*(1-Z1%)</f>
        <v>551.31</v>
      </c>
      <c r="F4407" s="2">
        <v>3</v>
      </c>
      <c r="G4407" s="2"/>
    </row>
    <row r="4408" spans="1:26" customHeight="1" ht="18" hidden="true" outlineLevel="3">
      <c r="A4408" s="2" t="s">
        <v>8298</v>
      </c>
      <c r="B4408" s="3" t="s">
        <v>8299</v>
      </c>
      <c r="C4408" s="2"/>
      <c r="D4408" s="2" t="s">
        <v>16</v>
      </c>
      <c r="E4408" s="4">
        <f>291.44*(1-Z1%)</f>
        <v>291.44</v>
      </c>
      <c r="F4408" s="2">
        <v>5</v>
      </c>
      <c r="G4408" s="2"/>
    </row>
    <row r="4409" spans="1:26" customHeight="1" ht="36" hidden="true" outlineLevel="3">
      <c r="A4409" s="2" t="s">
        <v>8300</v>
      </c>
      <c r="B4409" s="3" t="s">
        <v>8301</v>
      </c>
      <c r="C4409" s="2"/>
      <c r="D4409" s="2" t="s">
        <v>16</v>
      </c>
      <c r="E4409" s="4">
        <f>228.99*(1-Z1%)</f>
        <v>228.99</v>
      </c>
      <c r="F4409" s="2">
        <v>4</v>
      </c>
      <c r="G4409" s="2"/>
    </row>
    <row r="4410" spans="1:26" customHeight="1" ht="36" hidden="true" outlineLevel="3">
      <c r="A4410" s="2" t="s">
        <v>8302</v>
      </c>
      <c r="B4410" s="3" t="s">
        <v>8303</v>
      </c>
      <c r="C4410" s="2"/>
      <c r="D4410" s="2" t="s">
        <v>16</v>
      </c>
      <c r="E4410" s="4">
        <f>287.42*(1-Z1%)</f>
        <v>287.42</v>
      </c>
      <c r="F4410" s="2">
        <v>1</v>
      </c>
      <c r="G4410" s="2"/>
    </row>
    <row r="4411" spans="1:26" customHeight="1" ht="36" hidden="true" outlineLevel="3">
      <c r="A4411" s="2" t="s">
        <v>8304</v>
      </c>
      <c r="B4411" s="3" t="s">
        <v>8305</v>
      </c>
      <c r="C4411" s="2"/>
      <c r="D4411" s="2" t="s">
        <v>16</v>
      </c>
      <c r="E4411" s="4">
        <f>409.19*(1-Z1%)</f>
        <v>409.19</v>
      </c>
      <c r="F4411" s="2">
        <v>2</v>
      </c>
      <c r="G4411" s="2"/>
    </row>
    <row r="4412" spans="1:26" customHeight="1" ht="36" hidden="true" outlineLevel="3">
      <c r="A4412" s="2" t="s">
        <v>8306</v>
      </c>
      <c r="B4412" s="3" t="s">
        <v>8307</v>
      </c>
      <c r="C4412" s="2"/>
      <c r="D4412" s="2" t="s">
        <v>16</v>
      </c>
      <c r="E4412" s="4">
        <f>326.61*(1-Z1%)</f>
        <v>326.61</v>
      </c>
      <c r="F4412" s="2">
        <v>3</v>
      </c>
      <c r="G4412" s="2"/>
    </row>
    <row r="4413" spans="1:26" customHeight="1" ht="36" hidden="true" outlineLevel="3">
      <c r="A4413" s="2" t="s">
        <v>8308</v>
      </c>
      <c r="B4413" s="3" t="s">
        <v>8309</v>
      </c>
      <c r="C4413" s="2"/>
      <c r="D4413" s="2" t="s">
        <v>16</v>
      </c>
      <c r="E4413" s="4">
        <f>258.23*(1-Z1%)</f>
        <v>258.23</v>
      </c>
      <c r="F4413" s="2">
        <v>1</v>
      </c>
      <c r="G4413" s="2"/>
    </row>
    <row r="4414" spans="1:26" customHeight="1" ht="36" hidden="true" outlineLevel="3">
      <c r="A4414" s="2" t="s">
        <v>8310</v>
      </c>
      <c r="B4414" s="3" t="s">
        <v>8311</v>
      </c>
      <c r="C4414" s="2"/>
      <c r="D4414" s="2" t="s">
        <v>16</v>
      </c>
      <c r="E4414" s="4">
        <f>203.72*(1-Z1%)</f>
        <v>203.72</v>
      </c>
      <c r="F4414" s="2">
        <v>3</v>
      </c>
      <c r="G4414" s="2"/>
    </row>
    <row r="4415" spans="1:26" customHeight="1" ht="36" hidden="true" outlineLevel="3">
      <c r="A4415" s="2" t="s">
        <v>8312</v>
      </c>
      <c r="B4415" s="3" t="s">
        <v>8313</v>
      </c>
      <c r="C4415" s="2"/>
      <c r="D4415" s="2" t="s">
        <v>16</v>
      </c>
      <c r="E4415" s="4">
        <f>253.53*(1-Z1%)</f>
        <v>253.53</v>
      </c>
      <c r="F4415" s="2">
        <v>3</v>
      </c>
      <c r="G4415" s="2"/>
    </row>
    <row r="4416" spans="1:26" customHeight="1" ht="36" hidden="true" outlineLevel="3">
      <c r="A4416" s="2" t="s">
        <v>8314</v>
      </c>
      <c r="B4416" s="3" t="s">
        <v>8315</v>
      </c>
      <c r="C4416" s="2"/>
      <c r="D4416" s="2" t="s">
        <v>16</v>
      </c>
      <c r="E4416" s="4">
        <f>197.24*(1-Z1%)</f>
        <v>197.24</v>
      </c>
      <c r="F4416" s="2">
        <v>7</v>
      </c>
      <c r="G4416" s="2"/>
    </row>
    <row r="4417" spans="1:26" customHeight="1" ht="36" hidden="true" outlineLevel="3">
      <c r="A4417" s="2" t="s">
        <v>8316</v>
      </c>
      <c r="B4417" s="3" t="s">
        <v>8317</v>
      </c>
      <c r="C4417" s="2"/>
      <c r="D4417" s="2" t="s">
        <v>16</v>
      </c>
      <c r="E4417" s="4">
        <f>208.28*(1-Z1%)</f>
        <v>208.28</v>
      </c>
      <c r="F4417" s="2">
        <v>2</v>
      </c>
      <c r="G4417" s="2"/>
    </row>
    <row r="4418" spans="1:26" customHeight="1" ht="36" hidden="true" outlineLevel="3">
      <c r="A4418" s="2" t="s">
        <v>8318</v>
      </c>
      <c r="B4418" s="3" t="s">
        <v>8319</v>
      </c>
      <c r="C4418" s="2"/>
      <c r="D4418" s="2" t="s">
        <v>16</v>
      </c>
      <c r="E4418" s="4">
        <f>238.73*(1-Z1%)</f>
        <v>238.73</v>
      </c>
      <c r="F4418" s="2">
        <v>3</v>
      </c>
      <c r="G4418" s="2"/>
    </row>
    <row r="4419" spans="1:26" customHeight="1" ht="36" hidden="true" outlineLevel="3">
      <c r="A4419" s="2" t="s">
        <v>8320</v>
      </c>
      <c r="B4419" s="3" t="s">
        <v>8321</v>
      </c>
      <c r="C4419" s="2"/>
      <c r="D4419" s="2" t="s">
        <v>16</v>
      </c>
      <c r="E4419" s="4">
        <f>566.29*(1-Z1%)</f>
        <v>566.29</v>
      </c>
      <c r="F4419" s="2">
        <v>1</v>
      </c>
      <c r="G4419" s="2"/>
    </row>
    <row r="4420" spans="1:26" customHeight="1" ht="36" hidden="true" outlineLevel="3">
      <c r="A4420" s="2" t="s">
        <v>8322</v>
      </c>
      <c r="B4420" s="3" t="s">
        <v>8323</v>
      </c>
      <c r="C4420" s="2"/>
      <c r="D4420" s="2" t="s">
        <v>16</v>
      </c>
      <c r="E4420" s="4">
        <f>255.15*(1-Z1%)</f>
        <v>255.15</v>
      </c>
      <c r="F4420" s="2">
        <v>2</v>
      </c>
      <c r="G4420" s="2"/>
    </row>
    <row r="4421" spans="1:26" customHeight="1" ht="18" hidden="true" outlineLevel="3">
      <c r="A4421" s="2" t="s">
        <v>8324</v>
      </c>
      <c r="B4421" s="3" t="s">
        <v>8325</v>
      </c>
      <c r="C4421" s="2"/>
      <c r="D4421" s="2" t="s">
        <v>16</v>
      </c>
      <c r="E4421" s="4">
        <f>93.51*(1-Z1%)</f>
        <v>93.51</v>
      </c>
      <c r="F4421" s="2">
        <v>5</v>
      </c>
      <c r="G4421" s="2"/>
    </row>
    <row r="4422" spans="1:26" customHeight="1" ht="36" hidden="true" outlineLevel="3">
      <c r="A4422" s="2" t="s">
        <v>8326</v>
      </c>
      <c r="B4422" s="3" t="s">
        <v>8327</v>
      </c>
      <c r="C4422" s="2"/>
      <c r="D4422" s="2" t="s">
        <v>16</v>
      </c>
      <c r="E4422" s="4">
        <f>151.34*(1-Z1%)</f>
        <v>151.34</v>
      </c>
      <c r="F4422" s="2">
        <v>4</v>
      </c>
      <c r="G4422" s="2"/>
    </row>
    <row r="4423" spans="1:26" customHeight="1" ht="35" hidden="true" outlineLevel="3">
      <c r="A4423" s="5" t="s">
        <v>8328</v>
      </c>
      <c r="B4423" s="5"/>
      <c r="C4423" s="5"/>
      <c r="D4423" s="5"/>
      <c r="E4423" s="5"/>
      <c r="F4423" s="5"/>
      <c r="G4423" s="5"/>
    </row>
    <row r="4424" spans="1:26" customHeight="1" ht="36" hidden="true" outlineLevel="3">
      <c r="A4424" s="2" t="s">
        <v>8329</v>
      </c>
      <c r="B4424" s="3" t="s">
        <v>8330</v>
      </c>
      <c r="C4424" s="2"/>
      <c r="D4424" s="2" t="s">
        <v>16</v>
      </c>
      <c r="E4424" s="4">
        <f>247.76*(1-Z1%)</f>
        <v>247.76</v>
      </c>
      <c r="F4424" s="2">
        <v>7</v>
      </c>
      <c r="G4424" s="2"/>
    </row>
    <row r="4425" spans="1:26" customHeight="1" ht="36" hidden="true" outlineLevel="3">
      <c r="A4425" s="2" t="s">
        <v>8331</v>
      </c>
      <c r="B4425" s="3" t="s">
        <v>8332</v>
      </c>
      <c r="C4425" s="2"/>
      <c r="D4425" s="2" t="s">
        <v>16</v>
      </c>
      <c r="E4425" s="4">
        <f>248.99*(1-Z1%)</f>
        <v>248.99</v>
      </c>
      <c r="F4425" s="2">
        <v>4</v>
      </c>
      <c r="G4425" s="2"/>
    </row>
    <row r="4426" spans="1:26" customHeight="1" ht="35" hidden="true" outlineLevel="3">
      <c r="A4426" s="5" t="s">
        <v>8333</v>
      </c>
      <c r="B4426" s="5"/>
      <c r="C4426" s="5"/>
      <c r="D4426" s="5"/>
      <c r="E4426" s="5"/>
      <c r="F4426" s="5"/>
      <c r="G4426" s="5"/>
    </row>
    <row r="4427" spans="1:26" customHeight="1" ht="36" hidden="true" outlineLevel="3">
      <c r="A4427" s="2" t="s">
        <v>8334</v>
      </c>
      <c r="B4427" s="3" t="s">
        <v>8335</v>
      </c>
      <c r="C4427" s="2"/>
      <c r="D4427" s="2" t="s">
        <v>16</v>
      </c>
      <c r="E4427" s="4">
        <f>819.89*(1-Z1%)</f>
        <v>819.89</v>
      </c>
      <c r="F4427" s="2">
        <v>5</v>
      </c>
      <c r="G4427" s="2"/>
    </row>
    <row r="4428" spans="1:26" customHeight="1" ht="36" hidden="true" outlineLevel="3">
      <c r="A4428" s="2" t="s">
        <v>8336</v>
      </c>
      <c r="B4428" s="3" t="s">
        <v>8337</v>
      </c>
      <c r="C4428" s="2"/>
      <c r="D4428" s="2" t="s">
        <v>16</v>
      </c>
      <c r="E4428" s="4">
        <f>573.03*(1-Z1%)</f>
        <v>573.03</v>
      </c>
      <c r="F4428" s="2">
        <v>3</v>
      </c>
      <c r="G4428" s="2"/>
    </row>
    <row r="4429" spans="1:26" customHeight="1" ht="36" hidden="true" outlineLevel="3">
      <c r="A4429" s="2" t="s">
        <v>8338</v>
      </c>
      <c r="B4429" s="3" t="s">
        <v>8339</v>
      </c>
      <c r="C4429" s="2"/>
      <c r="D4429" s="2" t="s">
        <v>16</v>
      </c>
      <c r="E4429" s="4">
        <f>750.44*(1-Z1%)</f>
        <v>750.44</v>
      </c>
      <c r="F4429" s="2">
        <v>2</v>
      </c>
      <c r="G4429" s="2"/>
    </row>
    <row r="4430" spans="1:26" customHeight="1" ht="35">
      <c r="A4430" s="1" t="s">
        <v>8340</v>
      </c>
      <c r="B4430" s="1"/>
      <c r="C4430" s="1"/>
      <c r="D4430" s="1"/>
      <c r="E4430" s="1"/>
      <c r="F4430" s="1"/>
      <c r="G4430" s="1"/>
    </row>
    <row r="4431" spans="1:26" customHeight="1" ht="35" hidden="true" outlineLevel="2">
      <c r="A4431" s="5" t="s">
        <v>8341</v>
      </c>
      <c r="B4431" s="5"/>
      <c r="C4431" s="5"/>
      <c r="D4431" s="5"/>
      <c r="E4431" s="5"/>
      <c r="F4431" s="5"/>
      <c r="G4431" s="5"/>
    </row>
    <row r="4432" spans="1:26" customHeight="1" ht="35" hidden="true" outlineLevel="3">
      <c r="A4432" s="5" t="s">
        <v>8342</v>
      </c>
      <c r="B4432" s="5"/>
      <c r="C4432" s="5"/>
      <c r="D4432" s="5"/>
      <c r="E4432" s="5"/>
      <c r="F4432" s="5"/>
      <c r="G4432" s="5"/>
    </row>
    <row r="4433" spans="1:26" customHeight="1" ht="18" hidden="true" outlineLevel="3">
      <c r="A4433" s="2" t="s">
        <v>8343</v>
      </c>
      <c r="B4433" s="3" t="s">
        <v>8344</v>
      </c>
      <c r="C4433" s="2"/>
      <c r="D4433" s="2" t="s">
        <v>16</v>
      </c>
      <c r="E4433" s="4">
        <f>98.52*(1-Z1%)</f>
        <v>98.52</v>
      </c>
      <c r="F4433" s="2">
        <v>8</v>
      </c>
      <c r="G4433" s="2"/>
    </row>
    <row r="4434" spans="1:26" customHeight="1" ht="18" hidden="true" outlineLevel="3">
      <c r="A4434" s="2" t="s">
        <v>8345</v>
      </c>
      <c r="B4434" s="3" t="s">
        <v>8346</v>
      </c>
      <c r="C4434" s="2"/>
      <c r="D4434" s="2" t="s">
        <v>16</v>
      </c>
      <c r="E4434" s="4">
        <f>86.99*(1-Z1%)</f>
        <v>86.99</v>
      </c>
      <c r="F4434" s="2">
        <v>23</v>
      </c>
      <c r="G4434" s="2"/>
    </row>
    <row r="4435" spans="1:26" customHeight="1" ht="36" hidden="true" outlineLevel="3">
      <c r="A4435" s="2" t="s">
        <v>8347</v>
      </c>
      <c r="B4435" s="3" t="s">
        <v>8348</v>
      </c>
      <c r="C4435" s="2"/>
      <c r="D4435" s="2" t="s">
        <v>16</v>
      </c>
      <c r="E4435" s="4">
        <f>140.15*(1-Z1%)</f>
        <v>140.15</v>
      </c>
      <c r="F4435" s="2">
        <v>11</v>
      </c>
      <c r="G4435" s="2"/>
    </row>
    <row r="4436" spans="1:26" customHeight="1" ht="18" hidden="true" outlineLevel="3">
      <c r="A4436" s="2" t="s">
        <v>8349</v>
      </c>
      <c r="B4436" s="3" t="s">
        <v>8350</v>
      </c>
      <c r="C4436" s="2"/>
      <c r="D4436" s="2" t="s">
        <v>16</v>
      </c>
      <c r="E4436" s="4">
        <f>121.20*(1-Z1%)</f>
        <v>121.2</v>
      </c>
      <c r="F4436" s="2">
        <v>1</v>
      </c>
      <c r="G4436" s="2"/>
    </row>
    <row r="4437" spans="1:26" customHeight="1" ht="18" hidden="true" outlineLevel="3">
      <c r="A4437" s="2" t="s">
        <v>8351</v>
      </c>
      <c r="B4437" s="3" t="s">
        <v>8352</v>
      </c>
      <c r="C4437" s="2"/>
      <c r="D4437" s="2" t="s">
        <v>16</v>
      </c>
      <c r="E4437" s="4">
        <f>141.19*(1-Z1%)</f>
        <v>141.19</v>
      </c>
      <c r="F4437" s="2">
        <v>4</v>
      </c>
      <c r="G4437" s="2"/>
    </row>
    <row r="4438" spans="1:26" customHeight="1" ht="35" hidden="true" outlineLevel="3">
      <c r="A4438" s="5" t="s">
        <v>8353</v>
      </c>
      <c r="B4438" s="5"/>
      <c r="C4438" s="5"/>
      <c r="D4438" s="5"/>
      <c r="E4438" s="5"/>
      <c r="F4438" s="5"/>
      <c r="G4438" s="5"/>
    </row>
    <row r="4439" spans="1:26" customHeight="1" ht="36" hidden="true" outlineLevel="3">
      <c r="A4439" s="2" t="s">
        <v>8354</v>
      </c>
      <c r="B4439" s="3" t="s">
        <v>8355</v>
      </c>
      <c r="C4439" s="2"/>
      <c r="D4439" s="2" t="s">
        <v>16</v>
      </c>
      <c r="E4439" s="4">
        <f>149.63*(1-Z1%)</f>
        <v>149.63</v>
      </c>
      <c r="F4439" s="2">
        <v>4</v>
      </c>
      <c r="G4439" s="2"/>
    </row>
    <row r="4440" spans="1:26" customHeight="1" ht="35" hidden="true" outlineLevel="3">
      <c r="A4440" s="5" t="s">
        <v>8356</v>
      </c>
      <c r="B4440" s="5"/>
      <c r="C4440" s="5"/>
      <c r="D4440" s="5"/>
      <c r="E4440" s="5"/>
      <c r="F4440" s="5"/>
      <c r="G4440" s="5"/>
    </row>
    <row r="4441" spans="1:26" customHeight="1" ht="36" hidden="true" outlineLevel="3">
      <c r="A4441" s="2" t="s">
        <v>8357</v>
      </c>
      <c r="B4441" s="3" t="s">
        <v>8358</v>
      </c>
      <c r="C4441" s="2"/>
      <c r="D4441" s="2" t="s">
        <v>16</v>
      </c>
      <c r="E4441" s="4">
        <f>30.08*(1-Z1%)</f>
        <v>30.08</v>
      </c>
      <c r="F4441" s="2">
        <v>15</v>
      </c>
      <c r="G4441" s="2"/>
    </row>
    <row r="4442" spans="1:26" customHeight="1" ht="18" hidden="true" outlineLevel="3">
      <c r="A4442" s="2" t="s">
        <v>8359</v>
      </c>
      <c r="B4442" s="3" t="s">
        <v>8360</v>
      </c>
      <c r="C4442" s="2"/>
      <c r="D4442" s="2" t="s">
        <v>16</v>
      </c>
      <c r="E4442" s="4">
        <f>47.69*(1-Z1%)</f>
        <v>47.69</v>
      </c>
      <c r="F4442" s="2">
        <v>4</v>
      </c>
      <c r="G4442" s="2"/>
    </row>
    <row r="4443" spans="1:26" customHeight="1" ht="36" hidden="true" outlineLevel="3">
      <c r="A4443" s="2" t="s">
        <v>8361</v>
      </c>
      <c r="B4443" s="3" t="s">
        <v>8362</v>
      </c>
      <c r="C4443" s="2"/>
      <c r="D4443" s="2" t="s">
        <v>16</v>
      </c>
      <c r="E4443" s="4">
        <f>47.03*(1-Z1%)</f>
        <v>47.03</v>
      </c>
      <c r="F4443" s="2">
        <v>17</v>
      </c>
      <c r="G4443" s="2"/>
    </row>
    <row r="4444" spans="1:26" customHeight="1" ht="36" hidden="true" outlineLevel="3">
      <c r="A4444" s="2" t="s">
        <v>8363</v>
      </c>
      <c r="B4444" s="3" t="s">
        <v>8364</v>
      </c>
      <c r="C4444" s="2"/>
      <c r="D4444" s="2" t="s">
        <v>16</v>
      </c>
      <c r="E4444" s="4">
        <f>42.33*(1-Z1%)</f>
        <v>42.33</v>
      </c>
      <c r="F4444" s="2">
        <v>25</v>
      </c>
      <c r="G4444" s="2"/>
    </row>
    <row r="4445" spans="1:26" customHeight="1" ht="36" hidden="true" outlineLevel="3">
      <c r="A4445" s="2" t="s">
        <v>8365</v>
      </c>
      <c r="B4445" s="3" t="s">
        <v>8366</v>
      </c>
      <c r="C4445" s="2"/>
      <c r="D4445" s="2" t="s">
        <v>16</v>
      </c>
      <c r="E4445" s="4">
        <f>36.44*(1-Z1%)</f>
        <v>36.44</v>
      </c>
      <c r="F4445" s="2">
        <v>30</v>
      </c>
      <c r="G4445" s="2"/>
    </row>
    <row r="4446" spans="1:26" customHeight="1" ht="36" hidden="true" outlineLevel="3">
      <c r="A4446" s="2" t="s">
        <v>8367</v>
      </c>
      <c r="B4446" s="3" t="s">
        <v>8368</v>
      </c>
      <c r="C4446" s="2"/>
      <c r="D4446" s="2" t="s">
        <v>16</v>
      </c>
      <c r="E4446" s="4">
        <f>47.03*(1-Z1%)</f>
        <v>47.03</v>
      </c>
      <c r="F4446" s="2">
        <v>25</v>
      </c>
      <c r="G4446" s="2"/>
    </row>
    <row r="4447" spans="1:26" customHeight="1" ht="18" hidden="true" outlineLevel="3">
      <c r="A4447" s="2" t="s">
        <v>8369</v>
      </c>
      <c r="B4447" s="3" t="s">
        <v>8370</v>
      </c>
      <c r="C4447" s="2"/>
      <c r="D4447" s="2" t="s">
        <v>16</v>
      </c>
      <c r="E4447" s="4">
        <f>77.96*(1-Z1%)</f>
        <v>77.96</v>
      </c>
      <c r="F4447" s="2">
        <v>25</v>
      </c>
      <c r="G4447" s="2"/>
    </row>
    <row r="4448" spans="1:26" customHeight="1" ht="18" hidden="true" outlineLevel="3">
      <c r="A4448" s="2" t="s">
        <v>8371</v>
      </c>
      <c r="B4448" s="3" t="s">
        <v>8372</v>
      </c>
      <c r="C4448" s="2"/>
      <c r="D4448" s="2" t="s">
        <v>16</v>
      </c>
      <c r="E4448" s="4">
        <f>45.48*(1-Z1%)</f>
        <v>45.48</v>
      </c>
      <c r="F4448" s="2">
        <v>15</v>
      </c>
      <c r="G4448" s="2"/>
    </row>
    <row r="4449" spans="1:26" customHeight="1" ht="18" hidden="true" outlineLevel="3">
      <c r="A4449" s="2" t="s">
        <v>8373</v>
      </c>
      <c r="B4449" s="3" t="s">
        <v>8374</v>
      </c>
      <c r="C4449" s="2"/>
      <c r="D4449" s="2" t="s">
        <v>16</v>
      </c>
      <c r="E4449" s="4">
        <f>45.48*(1-Z1%)</f>
        <v>45.48</v>
      </c>
      <c r="F4449" s="2">
        <v>3</v>
      </c>
      <c r="G4449" s="2"/>
    </row>
    <row r="4450" spans="1:26" customHeight="1" ht="18" hidden="true" outlineLevel="3">
      <c r="A4450" s="2" t="s">
        <v>8375</v>
      </c>
      <c r="B4450" s="3" t="s">
        <v>8376</v>
      </c>
      <c r="C4450" s="2"/>
      <c r="D4450" s="2" t="s">
        <v>16</v>
      </c>
      <c r="E4450" s="4">
        <f>45.48*(1-Z1%)</f>
        <v>45.48</v>
      </c>
      <c r="F4450" s="2">
        <v>2</v>
      </c>
      <c r="G4450" s="2"/>
    </row>
    <row r="4451" spans="1:26" customHeight="1" ht="18" hidden="true" outlineLevel="3">
      <c r="A4451" s="2" t="s">
        <v>8377</v>
      </c>
      <c r="B4451" s="3" t="s">
        <v>8378</v>
      </c>
      <c r="C4451" s="2"/>
      <c r="D4451" s="2" t="s">
        <v>16</v>
      </c>
      <c r="E4451" s="4">
        <f>69.83*(1-Z1%)</f>
        <v>69.83</v>
      </c>
      <c r="F4451" s="2">
        <v>9</v>
      </c>
      <c r="G4451" s="2"/>
    </row>
    <row r="4452" spans="1:26" customHeight="1" ht="18" hidden="true" outlineLevel="3">
      <c r="A4452" s="2" t="s">
        <v>8379</v>
      </c>
      <c r="B4452" s="3" t="s">
        <v>8380</v>
      </c>
      <c r="C4452" s="2"/>
      <c r="D4452" s="2" t="s">
        <v>16</v>
      </c>
      <c r="E4452" s="4">
        <f>77.12*(1-Z1%)</f>
        <v>77.12</v>
      </c>
      <c r="F4452" s="2">
        <v>5</v>
      </c>
      <c r="G4452" s="2"/>
    </row>
    <row r="4453" spans="1:26" customHeight="1" ht="18" hidden="true" outlineLevel="3">
      <c r="A4453" s="2" t="s">
        <v>8381</v>
      </c>
      <c r="B4453" s="3" t="s">
        <v>8382</v>
      </c>
      <c r="C4453" s="2"/>
      <c r="D4453" s="2" t="s">
        <v>16</v>
      </c>
      <c r="E4453" s="4">
        <f>41.46*(1-Z1%)</f>
        <v>41.46</v>
      </c>
      <c r="F4453" s="2">
        <v>6</v>
      </c>
      <c r="G4453" s="2"/>
    </row>
    <row r="4454" spans="1:26" customHeight="1" ht="18" hidden="true" outlineLevel="3">
      <c r="A4454" s="2" t="s">
        <v>8383</v>
      </c>
      <c r="B4454" s="3" t="s">
        <v>8384</v>
      </c>
      <c r="C4454" s="2"/>
      <c r="D4454" s="2" t="s">
        <v>16</v>
      </c>
      <c r="E4454" s="4">
        <f>61.86*(1-Z1%)</f>
        <v>61.86</v>
      </c>
      <c r="F4454" s="2">
        <v>17</v>
      </c>
      <c r="G4454" s="2"/>
    </row>
    <row r="4455" spans="1:26" customHeight="1" ht="18" hidden="true" outlineLevel="3">
      <c r="A4455" s="2" t="s">
        <v>8385</v>
      </c>
      <c r="B4455" s="3" t="s">
        <v>8386</v>
      </c>
      <c r="C4455" s="2"/>
      <c r="D4455" s="2" t="s">
        <v>16</v>
      </c>
      <c r="E4455" s="4">
        <f>43.61*(1-Z1%)</f>
        <v>43.61</v>
      </c>
      <c r="F4455" s="2">
        <v>10</v>
      </c>
      <c r="G4455" s="2"/>
    </row>
    <row r="4456" spans="1:26" customHeight="1" ht="36" hidden="true" outlineLevel="3">
      <c r="A4456" s="2" t="s">
        <v>8387</v>
      </c>
      <c r="B4456" s="3" t="s">
        <v>8388</v>
      </c>
      <c r="C4456" s="2"/>
      <c r="D4456" s="2" t="s">
        <v>16</v>
      </c>
      <c r="E4456" s="4">
        <f>58.14*(1-Z1%)</f>
        <v>58.14</v>
      </c>
      <c r="F4456" s="2">
        <v>12</v>
      </c>
      <c r="G4456" s="2"/>
    </row>
    <row r="4457" spans="1:26" customHeight="1" ht="18" hidden="true" outlineLevel="3">
      <c r="A4457" s="2" t="s">
        <v>8389</v>
      </c>
      <c r="B4457" s="3" t="s">
        <v>8390</v>
      </c>
      <c r="C4457" s="2"/>
      <c r="D4457" s="2" t="s">
        <v>16</v>
      </c>
      <c r="E4457" s="4">
        <f>58.14*(1-Z1%)</f>
        <v>58.14</v>
      </c>
      <c r="F4457" s="2">
        <v>1</v>
      </c>
      <c r="G4457" s="2"/>
    </row>
    <row r="4458" spans="1:26" customHeight="1" ht="18" hidden="true" outlineLevel="3">
      <c r="A4458" s="2" t="s">
        <v>8391</v>
      </c>
      <c r="B4458" s="3" t="s">
        <v>8392</v>
      </c>
      <c r="C4458" s="2"/>
      <c r="D4458" s="2" t="s">
        <v>16</v>
      </c>
      <c r="E4458" s="4">
        <f>43.61*(1-Z1%)</f>
        <v>43.61</v>
      </c>
      <c r="F4458" s="2">
        <v>15</v>
      </c>
      <c r="G4458" s="2"/>
    </row>
    <row r="4459" spans="1:26" customHeight="1" ht="36" hidden="true" outlineLevel="3">
      <c r="A4459" s="2" t="s">
        <v>8393</v>
      </c>
      <c r="B4459" s="3" t="s">
        <v>8394</v>
      </c>
      <c r="C4459" s="2"/>
      <c r="D4459" s="2" t="s">
        <v>16</v>
      </c>
      <c r="E4459" s="4">
        <f>121.77*(1-Z1%)</f>
        <v>121.77</v>
      </c>
      <c r="F4459" s="2">
        <v>1</v>
      </c>
      <c r="G4459" s="2"/>
    </row>
    <row r="4460" spans="1:26" customHeight="1" ht="18" hidden="true" outlineLevel="3">
      <c r="A4460" s="2" t="s">
        <v>8395</v>
      </c>
      <c r="B4460" s="3" t="s">
        <v>8396</v>
      </c>
      <c r="C4460" s="2"/>
      <c r="D4460" s="2" t="s">
        <v>16</v>
      </c>
      <c r="E4460" s="4">
        <f>95.70*(1-Z1%)</f>
        <v>95.7</v>
      </c>
      <c r="F4460" s="2">
        <v>2</v>
      </c>
      <c r="G4460" s="2"/>
    </row>
    <row r="4461" spans="1:26" customHeight="1" ht="18" hidden="true" outlineLevel="3">
      <c r="A4461" s="2" t="s">
        <v>8397</v>
      </c>
      <c r="B4461" s="3" t="s">
        <v>8398</v>
      </c>
      <c r="C4461" s="2"/>
      <c r="D4461" s="2" t="s">
        <v>16</v>
      </c>
      <c r="E4461" s="4">
        <f>95.70*(1-Z1%)</f>
        <v>95.7</v>
      </c>
      <c r="F4461" s="2">
        <v>2</v>
      </c>
      <c r="G4461" s="2"/>
    </row>
    <row r="4462" spans="1:26" customHeight="1" ht="18" hidden="true" outlineLevel="3">
      <c r="A4462" s="2" t="s">
        <v>8399</v>
      </c>
      <c r="B4462" s="3" t="s">
        <v>8400</v>
      </c>
      <c r="C4462" s="2"/>
      <c r="D4462" s="2" t="s">
        <v>16</v>
      </c>
      <c r="E4462" s="4">
        <f>43.50*(1-Z1%)</f>
        <v>43.5</v>
      </c>
      <c r="F4462" s="2">
        <v>20</v>
      </c>
      <c r="G4462" s="2"/>
    </row>
    <row r="4463" spans="1:26" customHeight="1" ht="36" hidden="true" outlineLevel="3">
      <c r="A4463" s="2" t="s">
        <v>8401</v>
      </c>
      <c r="B4463" s="3" t="s">
        <v>8402</v>
      </c>
      <c r="C4463" s="2"/>
      <c r="D4463" s="2" t="s">
        <v>16</v>
      </c>
      <c r="E4463" s="4">
        <f>35.27*(1-Z1%)</f>
        <v>35.27</v>
      </c>
      <c r="F4463" s="2">
        <v>45</v>
      </c>
      <c r="G4463" s="2"/>
    </row>
    <row r="4464" spans="1:26" customHeight="1" ht="36" hidden="true" outlineLevel="3">
      <c r="A4464" s="2" t="s">
        <v>8403</v>
      </c>
      <c r="B4464" s="3" t="s">
        <v>8404</v>
      </c>
      <c r="C4464" s="2"/>
      <c r="D4464" s="2" t="s">
        <v>16</v>
      </c>
      <c r="E4464" s="4">
        <f>56.57*(1-Z1%)</f>
        <v>56.57</v>
      </c>
      <c r="F4464" s="2">
        <v>2</v>
      </c>
      <c r="G4464" s="2"/>
    </row>
    <row r="4465" spans="1:26" customHeight="1" ht="36" hidden="true" outlineLevel="3">
      <c r="A4465" s="2" t="s">
        <v>8405</v>
      </c>
      <c r="B4465" s="3" t="s">
        <v>8406</v>
      </c>
      <c r="C4465" s="2"/>
      <c r="D4465" s="2" t="s">
        <v>16</v>
      </c>
      <c r="E4465" s="4">
        <f>56.57*(1-Z1%)</f>
        <v>56.57</v>
      </c>
      <c r="F4465" s="2">
        <v>2</v>
      </c>
      <c r="G4465" s="2"/>
    </row>
    <row r="4466" spans="1:26" customHeight="1" ht="18" hidden="true" outlineLevel="3">
      <c r="A4466" s="2" t="s">
        <v>8407</v>
      </c>
      <c r="B4466" s="3" t="s">
        <v>8408</v>
      </c>
      <c r="C4466" s="2"/>
      <c r="D4466" s="2" t="s">
        <v>16</v>
      </c>
      <c r="E4466" s="4">
        <f>30.01*(1-Z1%)</f>
        <v>30.01</v>
      </c>
      <c r="F4466" s="2">
        <v>18</v>
      </c>
      <c r="G4466" s="2"/>
    </row>
    <row r="4467" spans="1:26" customHeight="1" ht="18" hidden="true" outlineLevel="3">
      <c r="A4467" s="2" t="s">
        <v>8409</v>
      </c>
      <c r="B4467" s="3" t="s">
        <v>8410</v>
      </c>
      <c r="C4467" s="2"/>
      <c r="D4467" s="2" t="s">
        <v>16</v>
      </c>
      <c r="E4467" s="4">
        <f>40.64*(1-Z1%)</f>
        <v>40.64</v>
      </c>
      <c r="F4467" s="2">
        <v>6</v>
      </c>
      <c r="G4467" s="2"/>
    </row>
    <row r="4468" spans="1:26" customHeight="1" ht="18" hidden="true" outlineLevel="3">
      <c r="A4468" s="2" t="s">
        <v>8411</v>
      </c>
      <c r="B4468" s="3" t="s">
        <v>8412</v>
      </c>
      <c r="C4468" s="2"/>
      <c r="D4468" s="2" t="s">
        <v>16</v>
      </c>
      <c r="E4468" s="4">
        <f>53.51*(1-Z1%)</f>
        <v>53.51</v>
      </c>
      <c r="F4468" s="2">
        <v>10</v>
      </c>
      <c r="G4468" s="2"/>
    </row>
    <row r="4469" spans="1:26" customHeight="1" ht="18" hidden="true" outlineLevel="3">
      <c r="A4469" s="2" t="s">
        <v>8413</v>
      </c>
      <c r="B4469" s="3" t="s">
        <v>8414</v>
      </c>
      <c r="C4469" s="2"/>
      <c r="D4469" s="2" t="s">
        <v>16</v>
      </c>
      <c r="E4469" s="4">
        <f>51.98*(1-Z1%)</f>
        <v>51.98</v>
      </c>
      <c r="F4469" s="2">
        <v>8</v>
      </c>
      <c r="G4469" s="2"/>
    </row>
    <row r="4470" spans="1:26" customHeight="1" ht="18" hidden="true" outlineLevel="3">
      <c r="A4470" s="2" t="s">
        <v>8415</v>
      </c>
      <c r="B4470" s="3" t="s">
        <v>8416</v>
      </c>
      <c r="C4470" s="2"/>
      <c r="D4470" s="2" t="s">
        <v>16</v>
      </c>
      <c r="E4470" s="4">
        <f>98.04*(1-Z1%)</f>
        <v>98.04</v>
      </c>
      <c r="F4470" s="2">
        <v>6</v>
      </c>
      <c r="G4470" s="2"/>
    </row>
    <row r="4471" spans="1:26" customHeight="1" ht="36" hidden="true" outlineLevel="3">
      <c r="A4471" s="2" t="s">
        <v>8417</v>
      </c>
      <c r="B4471" s="3" t="s">
        <v>8418</v>
      </c>
      <c r="C4471" s="2"/>
      <c r="D4471" s="2" t="s">
        <v>16</v>
      </c>
      <c r="E4471" s="4">
        <f>42.33*(1-Z1%)</f>
        <v>42.33</v>
      </c>
      <c r="F4471" s="2">
        <v>11</v>
      </c>
      <c r="G4471" s="2"/>
    </row>
    <row r="4472" spans="1:26" customHeight="1" ht="36" hidden="true" outlineLevel="3">
      <c r="A4472" s="2" t="s">
        <v>8419</v>
      </c>
      <c r="B4472" s="3" t="s">
        <v>8420</v>
      </c>
      <c r="C4472" s="2"/>
      <c r="D4472" s="2" t="s">
        <v>16</v>
      </c>
      <c r="E4472" s="4">
        <f>62.15*(1-Z1%)</f>
        <v>62.15</v>
      </c>
      <c r="F4472" s="2">
        <v>6</v>
      </c>
      <c r="G4472" s="2"/>
    </row>
    <row r="4473" spans="1:26" customHeight="1" ht="36" hidden="true" outlineLevel="3">
      <c r="A4473" s="2" t="s">
        <v>8421</v>
      </c>
      <c r="B4473" s="3" t="s">
        <v>8422</v>
      </c>
      <c r="C4473" s="2"/>
      <c r="D4473" s="2" t="s">
        <v>16</v>
      </c>
      <c r="E4473" s="4">
        <f>59.02*(1-Z1%)</f>
        <v>59.02</v>
      </c>
      <c r="F4473" s="2">
        <v>9</v>
      </c>
      <c r="G4473" s="2"/>
    </row>
    <row r="4474" spans="1:26" customHeight="1" ht="35" hidden="true" outlineLevel="3">
      <c r="A4474" s="5" t="s">
        <v>8423</v>
      </c>
      <c r="B4474" s="5"/>
      <c r="C4474" s="5"/>
      <c r="D4474" s="5"/>
      <c r="E4474" s="5"/>
      <c r="F4474" s="5"/>
      <c r="G4474" s="5"/>
    </row>
    <row r="4475" spans="1:26" customHeight="1" ht="36" hidden="true" outlineLevel="3">
      <c r="A4475" s="2" t="s">
        <v>8424</v>
      </c>
      <c r="B4475" s="3" t="s">
        <v>8425</v>
      </c>
      <c r="C4475" s="2"/>
      <c r="D4475" s="2" t="s">
        <v>16</v>
      </c>
      <c r="E4475" s="4">
        <f>58.14*(1-Z1%)</f>
        <v>58.14</v>
      </c>
      <c r="F4475" s="2">
        <v>17</v>
      </c>
      <c r="G4475" s="2"/>
    </row>
    <row r="4476" spans="1:26" customHeight="1" ht="36" hidden="true" outlineLevel="3">
      <c r="A4476" s="2" t="s">
        <v>8426</v>
      </c>
      <c r="B4476" s="3" t="s">
        <v>8427</v>
      </c>
      <c r="C4476" s="2"/>
      <c r="D4476" s="2" t="s">
        <v>16</v>
      </c>
      <c r="E4476" s="4">
        <f>123.49*(1-Z1%)</f>
        <v>123.49</v>
      </c>
      <c r="F4476" s="2">
        <v>2</v>
      </c>
      <c r="G4476" s="2"/>
    </row>
    <row r="4477" spans="1:26" customHeight="1" ht="36" hidden="true" outlineLevel="3">
      <c r="A4477" s="2" t="s">
        <v>8428</v>
      </c>
      <c r="B4477" s="3" t="s">
        <v>8429</v>
      </c>
      <c r="C4477" s="2"/>
      <c r="D4477" s="2" t="s">
        <v>16</v>
      </c>
      <c r="E4477" s="4">
        <f>44.06*(1-Z1%)</f>
        <v>44.06</v>
      </c>
      <c r="F4477" s="2">
        <v>27</v>
      </c>
      <c r="G4477" s="2"/>
    </row>
    <row r="4478" spans="1:26" customHeight="1" ht="36" hidden="true" outlineLevel="3">
      <c r="A4478" s="2" t="s">
        <v>8430</v>
      </c>
      <c r="B4478" s="3" t="s">
        <v>8431</v>
      </c>
      <c r="C4478" s="2"/>
      <c r="D4478" s="2" t="s">
        <v>16</v>
      </c>
      <c r="E4478" s="4">
        <f>57.18*(1-Z1%)</f>
        <v>57.18</v>
      </c>
      <c r="F4478" s="2">
        <v>39</v>
      </c>
      <c r="G4478" s="2"/>
    </row>
    <row r="4479" spans="1:26" customHeight="1" ht="36" hidden="true" outlineLevel="3">
      <c r="A4479" s="2" t="s">
        <v>8432</v>
      </c>
      <c r="B4479" s="3" t="s">
        <v>8433</v>
      </c>
      <c r="C4479" s="2"/>
      <c r="D4479" s="2" t="s">
        <v>16</v>
      </c>
      <c r="E4479" s="4">
        <f>77.37*(1-Z1%)</f>
        <v>77.37</v>
      </c>
      <c r="F4479" s="2">
        <v>9</v>
      </c>
      <c r="G4479" s="2"/>
    </row>
    <row r="4480" spans="1:26" customHeight="1" ht="18" hidden="true" outlineLevel="3">
      <c r="A4480" s="2" t="s">
        <v>8434</v>
      </c>
      <c r="B4480" s="3" t="s">
        <v>8435</v>
      </c>
      <c r="C4480" s="2"/>
      <c r="D4480" s="2" t="s">
        <v>16</v>
      </c>
      <c r="E4480" s="4">
        <f>109.93*(1-Z1%)</f>
        <v>109.93</v>
      </c>
      <c r="F4480" s="2">
        <v>20</v>
      </c>
      <c r="G4480" s="2"/>
    </row>
    <row r="4481" spans="1:26" customHeight="1" ht="35" hidden="true" outlineLevel="3">
      <c r="A4481" s="5" t="s">
        <v>8436</v>
      </c>
      <c r="B4481" s="5"/>
      <c r="C4481" s="5"/>
      <c r="D4481" s="5"/>
      <c r="E4481" s="5"/>
      <c r="F4481" s="5"/>
      <c r="G4481" s="5"/>
    </row>
    <row r="4482" spans="1:26" customHeight="1" ht="18" hidden="true" outlineLevel="3">
      <c r="A4482" s="2" t="s">
        <v>8437</v>
      </c>
      <c r="B4482" s="3" t="s">
        <v>8438</v>
      </c>
      <c r="C4482" s="2"/>
      <c r="D4482" s="2" t="s">
        <v>16</v>
      </c>
      <c r="E4482" s="4">
        <f>48.74*(1-Z1%)</f>
        <v>48.74</v>
      </c>
      <c r="F4482" s="2">
        <v>8</v>
      </c>
      <c r="G4482" s="2"/>
    </row>
    <row r="4483" spans="1:26" customHeight="1" ht="18" hidden="true" outlineLevel="3">
      <c r="A4483" s="2" t="s">
        <v>8439</v>
      </c>
      <c r="B4483" s="3" t="s">
        <v>8440</v>
      </c>
      <c r="C4483" s="2"/>
      <c r="D4483" s="2" t="s">
        <v>16</v>
      </c>
      <c r="E4483" s="4">
        <f>70.31*(1-Z1%)</f>
        <v>70.31</v>
      </c>
      <c r="F4483" s="2">
        <v>1</v>
      </c>
      <c r="G4483" s="2"/>
    </row>
    <row r="4484" spans="1:26" customHeight="1" ht="18" hidden="true" outlineLevel="3">
      <c r="A4484" s="2" t="s">
        <v>8441</v>
      </c>
      <c r="B4484" s="3" t="s">
        <v>8442</v>
      </c>
      <c r="C4484" s="2"/>
      <c r="D4484" s="2" t="s">
        <v>16</v>
      </c>
      <c r="E4484" s="4">
        <f>26.73*(1-Z1%)</f>
        <v>26.73</v>
      </c>
      <c r="F4484" s="2">
        <v>6</v>
      </c>
      <c r="G4484" s="2"/>
    </row>
    <row r="4485" spans="1:26" customHeight="1" ht="18" hidden="true" outlineLevel="3">
      <c r="A4485" s="2" t="s">
        <v>8443</v>
      </c>
      <c r="B4485" s="3" t="s">
        <v>8444</v>
      </c>
      <c r="C4485" s="2"/>
      <c r="D4485" s="2" t="s">
        <v>16</v>
      </c>
      <c r="E4485" s="4">
        <f>42.90*(1-Z1%)</f>
        <v>42.9</v>
      </c>
      <c r="F4485" s="2">
        <v>1</v>
      </c>
      <c r="G4485" s="2"/>
    </row>
    <row r="4486" spans="1:26" customHeight="1" ht="18" hidden="true" outlineLevel="3">
      <c r="A4486" s="2" t="s">
        <v>8445</v>
      </c>
      <c r="B4486" s="3" t="s">
        <v>8446</v>
      </c>
      <c r="C4486" s="2"/>
      <c r="D4486" s="2" t="s">
        <v>16</v>
      </c>
      <c r="E4486" s="4">
        <f>26.59*(1-Z1%)</f>
        <v>26.59</v>
      </c>
      <c r="F4486" s="2">
        <v>10</v>
      </c>
      <c r="G4486" s="2"/>
    </row>
    <row r="4487" spans="1:26" customHeight="1" ht="18" hidden="true" outlineLevel="3">
      <c r="A4487" s="2" t="s">
        <v>8447</v>
      </c>
      <c r="B4487" s="3" t="s">
        <v>8448</v>
      </c>
      <c r="C4487" s="2"/>
      <c r="D4487" s="2" t="s">
        <v>16</v>
      </c>
      <c r="E4487" s="4">
        <f>51.74*(1-Z1%)</f>
        <v>51.74</v>
      </c>
      <c r="F4487" s="2">
        <v>2</v>
      </c>
      <c r="G4487" s="2"/>
    </row>
    <row r="4488" spans="1:26" customHeight="1" ht="18" hidden="true" outlineLevel="3">
      <c r="A4488" s="2" t="s">
        <v>8449</v>
      </c>
      <c r="B4488" s="3" t="s">
        <v>8450</v>
      </c>
      <c r="C4488" s="2"/>
      <c r="D4488" s="2" t="s">
        <v>16</v>
      </c>
      <c r="E4488" s="4">
        <f>59.85*(1-Z1%)</f>
        <v>59.85</v>
      </c>
      <c r="F4488" s="2">
        <v>26</v>
      </c>
      <c r="G4488" s="2"/>
    </row>
    <row r="4489" spans="1:26" customHeight="1" ht="36" hidden="true" outlineLevel="3">
      <c r="A4489" s="2" t="s">
        <v>8451</v>
      </c>
      <c r="B4489" s="3" t="s">
        <v>8452</v>
      </c>
      <c r="C4489" s="2"/>
      <c r="D4489" s="2" t="s">
        <v>16</v>
      </c>
      <c r="E4489" s="4">
        <f>34.09*(1-Z1%)</f>
        <v>34.09</v>
      </c>
      <c r="F4489" s="2">
        <v>52</v>
      </c>
      <c r="G4489" s="2"/>
    </row>
    <row r="4490" spans="1:26" customHeight="1" ht="18" hidden="true" outlineLevel="3">
      <c r="A4490" s="2" t="s">
        <v>8453</v>
      </c>
      <c r="B4490" s="3" t="s">
        <v>8454</v>
      </c>
      <c r="C4490" s="2"/>
      <c r="D4490" s="2" t="s">
        <v>16</v>
      </c>
      <c r="E4490" s="4">
        <f>32.30*(1-Z1%)</f>
        <v>32.3</v>
      </c>
      <c r="F4490" s="2">
        <v>35</v>
      </c>
      <c r="G4490" s="2"/>
    </row>
    <row r="4491" spans="1:26" customHeight="1" ht="18" hidden="true" outlineLevel="3">
      <c r="A4491" s="2" t="s">
        <v>8455</v>
      </c>
      <c r="B4491" s="3" t="s">
        <v>8456</v>
      </c>
      <c r="C4491" s="2"/>
      <c r="D4491" s="2" t="s">
        <v>16</v>
      </c>
      <c r="E4491" s="4">
        <f>68.19*(1-Z1%)</f>
        <v>68.19</v>
      </c>
      <c r="F4491" s="2">
        <v>3</v>
      </c>
      <c r="G4491" s="2"/>
    </row>
    <row r="4492" spans="1:26" customHeight="1" ht="18" hidden="true" outlineLevel="3">
      <c r="A4492" s="2" t="s">
        <v>8457</v>
      </c>
      <c r="B4492" s="3" t="s">
        <v>8458</v>
      </c>
      <c r="C4492" s="2"/>
      <c r="D4492" s="2" t="s">
        <v>16</v>
      </c>
      <c r="E4492" s="4">
        <f>82.34*(1-Z1%)</f>
        <v>82.34</v>
      </c>
      <c r="F4492" s="2">
        <v>22</v>
      </c>
      <c r="G4492" s="2"/>
    </row>
    <row r="4493" spans="1:26" customHeight="1" ht="18" hidden="true" outlineLevel="3">
      <c r="A4493" s="2" t="s">
        <v>8459</v>
      </c>
      <c r="B4493" s="3" t="s">
        <v>8325</v>
      </c>
      <c r="C4493" s="2"/>
      <c r="D4493" s="2" t="s">
        <v>16</v>
      </c>
      <c r="E4493" s="4">
        <f>54.70*(1-Z1%)</f>
        <v>54.7</v>
      </c>
      <c r="F4493" s="2">
        <v>31</v>
      </c>
      <c r="G4493" s="2"/>
    </row>
    <row r="4494" spans="1:26" customHeight="1" ht="18" hidden="true" outlineLevel="3">
      <c r="A4494" s="2" t="s">
        <v>8460</v>
      </c>
      <c r="B4494" s="3" t="s">
        <v>8461</v>
      </c>
      <c r="C4494" s="2"/>
      <c r="D4494" s="2" t="s">
        <v>16</v>
      </c>
      <c r="E4494" s="4">
        <f>70.67*(1-Z1%)</f>
        <v>70.67</v>
      </c>
      <c r="F4494" s="2">
        <v>23</v>
      </c>
      <c r="G4494" s="2"/>
    </row>
    <row r="4495" spans="1:26" customHeight="1" ht="18" hidden="true" outlineLevel="3">
      <c r="A4495" s="2" t="s">
        <v>8462</v>
      </c>
      <c r="B4495" s="3" t="s">
        <v>8463</v>
      </c>
      <c r="C4495" s="2"/>
      <c r="D4495" s="2" t="s">
        <v>16</v>
      </c>
      <c r="E4495" s="4">
        <f>78.46*(1-Z1%)</f>
        <v>78.46</v>
      </c>
      <c r="F4495" s="2">
        <v>5</v>
      </c>
      <c r="G4495" s="2"/>
    </row>
    <row r="4496" spans="1:26" customHeight="1" ht="18" hidden="true" outlineLevel="3">
      <c r="A4496" s="2" t="s">
        <v>8464</v>
      </c>
      <c r="B4496" s="3" t="s">
        <v>8465</v>
      </c>
      <c r="C4496" s="2"/>
      <c r="D4496" s="2" t="s">
        <v>16</v>
      </c>
      <c r="E4496" s="4">
        <f>39.57*(1-Z1%)</f>
        <v>39.57</v>
      </c>
      <c r="F4496" s="2">
        <v>1</v>
      </c>
      <c r="G4496" s="2"/>
    </row>
    <row r="4497" spans="1:26" customHeight="1" ht="35" hidden="true" outlineLevel="3">
      <c r="A4497" s="5" t="s">
        <v>8466</v>
      </c>
      <c r="B4497" s="5"/>
      <c r="C4497" s="5"/>
      <c r="D4497" s="5"/>
      <c r="E4497" s="5"/>
      <c r="F4497" s="5"/>
      <c r="G4497" s="5"/>
    </row>
    <row r="4498" spans="1:26" customHeight="1" ht="18" hidden="true" outlineLevel="3">
      <c r="A4498" s="2" t="s">
        <v>8467</v>
      </c>
      <c r="B4498" s="3" t="s">
        <v>8468</v>
      </c>
      <c r="C4498" s="2"/>
      <c r="D4498" s="2" t="s">
        <v>16</v>
      </c>
      <c r="E4498" s="4">
        <f>175.36*(1-Z1%)</f>
        <v>175.36</v>
      </c>
      <c r="F4498" s="2">
        <v>8</v>
      </c>
      <c r="G4498" s="2"/>
    </row>
    <row r="4499" spans="1:26" customHeight="1" ht="18" hidden="true" outlineLevel="3">
      <c r="A4499" s="2" t="s">
        <v>8469</v>
      </c>
      <c r="B4499" s="3" t="s">
        <v>8470</v>
      </c>
      <c r="C4499" s="2"/>
      <c r="D4499" s="2" t="s">
        <v>16</v>
      </c>
      <c r="E4499" s="4">
        <f>180.86*(1-Z1%)</f>
        <v>180.86</v>
      </c>
      <c r="F4499" s="2">
        <v>1</v>
      </c>
      <c r="G4499" s="2"/>
    </row>
    <row r="4500" spans="1:26" customHeight="1" ht="18" hidden="true" outlineLevel="3">
      <c r="A4500" s="2" t="s">
        <v>8471</v>
      </c>
      <c r="B4500" s="3" t="s">
        <v>8472</v>
      </c>
      <c r="C4500" s="2"/>
      <c r="D4500" s="2" t="s">
        <v>16</v>
      </c>
      <c r="E4500" s="4">
        <f>64.98*(1-Z1%)</f>
        <v>64.98</v>
      </c>
      <c r="F4500" s="2">
        <v>10</v>
      </c>
      <c r="G4500" s="2"/>
    </row>
    <row r="4501" spans="1:26" customHeight="1" ht="18" hidden="true" outlineLevel="3">
      <c r="A4501" s="2" t="s">
        <v>8473</v>
      </c>
      <c r="B4501" s="3" t="s">
        <v>8474</v>
      </c>
      <c r="C4501" s="2"/>
      <c r="D4501" s="2" t="s">
        <v>16</v>
      </c>
      <c r="E4501" s="4">
        <f>128.58*(1-Z1%)</f>
        <v>128.58</v>
      </c>
      <c r="F4501" s="2">
        <v>10</v>
      </c>
      <c r="G4501" s="2"/>
    </row>
    <row r="4502" spans="1:26" customHeight="1" ht="35" hidden="true" outlineLevel="3">
      <c r="A4502" s="5" t="s">
        <v>8475</v>
      </c>
      <c r="B4502" s="5"/>
      <c r="C4502" s="5"/>
      <c r="D4502" s="5"/>
      <c r="E4502" s="5"/>
      <c r="F4502" s="5"/>
      <c r="G4502" s="5"/>
    </row>
    <row r="4503" spans="1:26" customHeight="1" ht="36" hidden="true" outlineLevel="3">
      <c r="A4503" s="2" t="s">
        <v>8476</v>
      </c>
      <c r="B4503" s="3" t="s">
        <v>8477</v>
      </c>
      <c r="C4503" s="2"/>
      <c r="D4503" s="2" t="s">
        <v>16</v>
      </c>
      <c r="E4503" s="4">
        <f>308.14*(1-Z1%)</f>
        <v>308.14</v>
      </c>
      <c r="F4503" s="2">
        <v>5</v>
      </c>
      <c r="G4503" s="2"/>
    </row>
    <row r="4504" spans="1:26" customHeight="1" ht="18" hidden="true" outlineLevel="3">
      <c r="A4504" s="2" t="s">
        <v>8478</v>
      </c>
      <c r="B4504" s="3" t="s">
        <v>8479</v>
      </c>
      <c r="C4504" s="2"/>
      <c r="D4504" s="2" t="s">
        <v>16</v>
      </c>
      <c r="E4504" s="4">
        <f>303.19*(1-Z1%)</f>
        <v>303.19</v>
      </c>
      <c r="F4504" s="2">
        <v>10</v>
      </c>
      <c r="G4504" s="2"/>
    </row>
    <row r="4505" spans="1:26" customHeight="1" ht="18" hidden="true" outlineLevel="3">
      <c r="A4505" s="2" t="s">
        <v>8480</v>
      </c>
      <c r="B4505" s="3" t="s">
        <v>8481</v>
      </c>
      <c r="C4505" s="2"/>
      <c r="D4505" s="2" t="s">
        <v>16</v>
      </c>
      <c r="E4505" s="4">
        <f>334.13*(1-Z1%)</f>
        <v>334.13</v>
      </c>
      <c r="F4505" s="2">
        <v>3</v>
      </c>
      <c r="G4505" s="2"/>
    </row>
    <row r="4506" spans="1:26" customHeight="1" ht="35" hidden="true" outlineLevel="3">
      <c r="A4506" s="5" t="s">
        <v>8482</v>
      </c>
      <c r="B4506" s="5"/>
      <c r="C4506" s="5"/>
      <c r="D4506" s="5"/>
      <c r="E4506" s="5"/>
      <c r="F4506" s="5"/>
      <c r="G4506" s="5"/>
    </row>
    <row r="4507" spans="1:26" customHeight="1" ht="36" hidden="true" outlineLevel="3">
      <c r="A4507" s="2" t="s">
        <v>8483</v>
      </c>
      <c r="B4507" s="3" t="s">
        <v>8484</v>
      </c>
      <c r="C4507" s="2"/>
      <c r="D4507" s="2" t="s">
        <v>16</v>
      </c>
      <c r="E4507" s="4">
        <f>53.87*(1-Z1%)</f>
        <v>53.87</v>
      </c>
      <c r="F4507" s="2">
        <v>20</v>
      </c>
      <c r="G4507" s="2"/>
    </row>
    <row r="4508" spans="1:26" customHeight="1" ht="36" hidden="true" outlineLevel="3">
      <c r="A4508" s="2" t="s">
        <v>8485</v>
      </c>
      <c r="B4508" s="3" t="s">
        <v>8486</v>
      </c>
      <c r="C4508" s="2"/>
      <c r="D4508" s="2" t="s">
        <v>16</v>
      </c>
      <c r="E4508" s="4">
        <f>14.85*(1-Z1%)</f>
        <v>14.85</v>
      </c>
      <c r="F4508" s="2">
        <v>19</v>
      </c>
      <c r="G4508" s="2"/>
    </row>
    <row r="4509" spans="1:26" customHeight="1" ht="35" hidden="true" outlineLevel="3">
      <c r="A4509" s="5" t="s">
        <v>8487</v>
      </c>
      <c r="B4509" s="5"/>
      <c r="C4509" s="5"/>
      <c r="D4509" s="5"/>
      <c r="E4509" s="5"/>
      <c r="F4509" s="5"/>
      <c r="G4509" s="5"/>
    </row>
    <row r="4510" spans="1:26" customHeight="1" ht="18" hidden="true" outlineLevel="3">
      <c r="A4510" s="2" t="s">
        <v>8488</v>
      </c>
      <c r="B4510" s="3" t="s">
        <v>8489</v>
      </c>
      <c r="C4510" s="2"/>
      <c r="D4510" s="2" t="s">
        <v>16</v>
      </c>
      <c r="E4510" s="4">
        <f>39.27*(1-Z1%)</f>
        <v>39.27</v>
      </c>
      <c r="F4510" s="2">
        <v>1</v>
      </c>
      <c r="G4510" s="2"/>
    </row>
    <row r="4511" spans="1:26" customHeight="1" ht="36" hidden="true" outlineLevel="3">
      <c r="A4511" s="2" t="s">
        <v>8490</v>
      </c>
      <c r="B4511" s="3" t="s">
        <v>8491</v>
      </c>
      <c r="C4511" s="2"/>
      <c r="D4511" s="2" t="s">
        <v>16</v>
      </c>
      <c r="E4511" s="4">
        <f>40.57*(1-Z1%)</f>
        <v>40.57</v>
      </c>
      <c r="F4511" s="2">
        <v>6</v>
      </c>
      <c r="G4511" s="2"/>
    </row>
    <row r="4512" spans="1:26" customHeight="1" ht="35" hidden="true" outlineLevel="3">
      <c r="A4512" s="5" t="s">
        <v>8492</v>
      </c>
      <c r="B4512" s="5"/>
      <c r="C4512" s="5"/>
      <c r="D4512" s="5"/>
      <c r="E4512" s="5"/>
      <c r="F4512" s="5"/>
      <c r="G4512" s="5"/>
    </row>
    <row r="4513" spans="1:26" customHeight="1" ht="36" hidden="true" outlineLevel="3">
      <c r="A4513" s="2" t="s">
        <v>8493</v>
      </c>
      <c r="B4513" s="3" t="s">
        <v>8494</v>
      </c>
      <c r="C4513" s="2"/>
      <c r="D4513" s="2" t="s">
        <v>16</v>
      </c>
      <c r="E4513" s="4">
        <f>16.46*(1-Z1%)</f>
        <v>16.46</v>
      </c>
      <c r="F4513" s="2">
        <v>6</v>
      </c>
      <c r="G4513" s="2"/>
    </row>
    <row r="4514" spans="1:26" customHeight="1" ht="36" hidden="true" outlineLevel="3">
      <c r="A4514" s="2" t="s">
        <v>8495</v>
      </c>
      <c r="B4514" s="3" t="s">
        <v>8496</v>
      </c>
      <c r="C4514" s="2"/>
      <c r="D4514" s="2" t="s">
        <v>16</v>
      </c>
      <c r="E4514" s="4">
        <f>37.31*(1-Z1%)</f>
        <v>37.31</v>
      </c>
      <c r="F4514" s="2">
        <v>5</v>
      </c>
      <c r="G4514" s="2"/>
    </row>
    <row r="4515" spans="1:26" customHeight="1" ht="36" hidden="true" outlineLevel="3">
      <c r="A4515" s="2" t="s">
        <v>8497</v>
      </c>
      <c r="B4515" s="3" t="s">
        <v>8498</v>
      </c>
      <c r="C4515" s="2"/>
      <c r="D4515" s="2" t="s">
        <v>16</v>
      </c>
      <c r="E4515" s="4">
        <f>19.80*(1-Z1%)</f>
        <v>19.8</v>
      </c>
      <c r="F4515" s="2">
        <v>15</v>
      </c>
      <c r="G4515" s="2"/>
    </row>
    <row r="4516" spans="1:26" customHeight="1" ht="18" hidden="true" outlineLevel="3">
      <c r="A4516" s="2" t="s">
        <v>8499</v>
      </c>
      <c r="B4516" s="3" t="s">
        <v>8500</v>
      </c>
      <c r="C4516" s="2"/>
      <c r="D4516" s="2" t="s">
        <v>16</v>
      </c>
      <c r="E4516" s="4">
        <f>27.23*(1-Z1%)</f>
        <v>27.23</v>
      </c>
      <c r="F4516" s="2">
        <v>35</v>
      </c>
      <c r="G4516" s="2"/>
    </row>
    <row r="4517" spans="1:26" customHeight="1" ht="35" hidden="true" outlineLevel="3">
      <c r="A4517" s="5" t="s">
        <v>8501</v>
      </c>
      <c r="B4517" s="5"/>
      <c r="C4517" s="5"/>
      <c r="D4517" s="5"/>
      <c r="E4517" s="5"/>
      <c r="F4517" s="5"/>
      <c r="G4517" s="5"/>
    </row>
    <row r="4518" spans="1:26" customHeight="1" ht="18" hidden="true" outlineLevel="3">
      <c r="A4518" s="2" t="s">
        <v>8502</v>
      </c>
      <c r="B4518" s="3" t="s">
        <v>8503</v>
      </c>
      <c r="C4518" s="2"/>
      <c r="D4518" s="2" t="s">
        <v>16</v>
      </c>
      <c r="E4518" s="4">
        <f>28.96*(1-Z1%)</f>
        <v>28.96</v>
      </c>
      <c r="F4518" s="2">
        <v>5</v>
      </c>
      <c r="G4518" s="2"/>
    </row>
    <row r="4519" spans="1:26" customHeight="1" ht="36" hidden="true" outlineLevel="3">
      <c r="A4519" s="2" t="s">
        <v>8504</v>
      </c>
      <c r="B4519" s="3" t="s">
        <v>8505</v>
      </c>
      <c r="C4519" s="2"/>
      <c r="D4519" s="2" t="s">
        <v>16</v>
      </c>
      <c r="E4519" s="4">
        <f>28.13*(1-Z1%)</f>
        <v>28.13</v>
      </c>
      <c r="F4519" s="2">
        <v>1</v>
      </c>
      <c r="G4519" s="2"/>
    </row>
    <row r="4520" spans="1:26" customHeight="1" ht="36" hidden="true" outlineLevel="3">
      <c r="A4520" s="2" t="s">
        <v>8506</v>
      </c>
      <c r="B4520" s="3" t="s">
        <v>8507</v>
      </c>
      <c r="C4520" s="2"/>
      <c r="D4520" s="2" t="s">
        <v>16</v>
      </c>
      <c r="E4520" s="4">
        <f>14.30*(1-Z1%)</f>
        <v>14.3</v>
      </c>
      <c r="F4520" s="2">
        <v>25</v>
      </c>
      <c r="G4520" s="2"/>
    </row>
    <row r="4521" spans="1:26" customHeight="1" ht="18" hidden="true" outlineLevel="3">
      <c r="A4521" s="2" t="s">
        <v>8508</v>
      </c>
      <c r="B4521" s="3" t="s">
        <v>8509</v>
      </c>
      <c r="C4521" s="2"/>
      <c r="D4521" s="2" t="s">
        <v>16</v>
      </c>
      <c r="E4521" s="4">
        <f>45.79*(1-Z1%)</f>
        <v>45.79</v>
      </c>
      <c r="F4521" s="2">
        <v>30</v>
      </c>
      <c r="G4521" s="2"/>
    </row>
    <row r="4522" spans="1:26" customHeight="1" ht="18" hidden="true" outlineLevel="3">
      <c r="A4522" s="2" t="s">
        <v>8510</v>
      </c>
      <c r="B4522" s="3" t="s">
        <v>8511</v>
      </c>
      <c r="C4522" s="2"/>
      <c r="D4522" s="2" t="s">
        <v>16</v>
      </c>
      <c r="E4522" s="4">
        <f>28.13*(1-Z1%)</f>
        <v>28.13</v>
      </c>
      <c r="F4522" s="2">
        <v>10</v>
      </c>
      <c r="G4522" s="2"/>
    </row>
    <row r="4523" spans="1:26" customHeight="1" ht="35" hidden="true" outlineLevel="2">
      <c r="A4523" s="5" t="s">
        <v>8512</v>
      </c>
      <c r="B4523" s="5"/>
      <c r="C4523" s="5"/>
      <c r="D4523" s="5"/>
      <c r="E4523" s="5"/>
      <c r="F4523" s="5"/>
      <c r="G4523" s="5"/>
    </row>
    <row r="4524" spans="1:26" customHeight="1" ht="35" hidden="true" outlineLevel="3">
      <c r="A4524" s="5" t="s">
        <v>8513</v>
      </c>
      <c r="B4524" s="5"/>
      <c r="C4524" s="5"/>
      <c r="D4524" s="5"/>
      <c r="E4524" s="5"/>
      <c r="F4524" s="5"/>
      <c r="G4524" s="5"/>
    </row>
    <row r="4525" spans="1:26" customHeight="1" ht="18" hidden="true" outlineLevel="3">
      <c r="A4525" s="2" t="s">
        <v>8514</v>
      </c>
      <c r="B4525" s="3" t="s">
        <v>8515</v>
      </c>
      <c r="C4525" s="2"/>
      <c r="D4525" s="2" t="s">
        <v>16</v>
      </c>
      <c r="E4525" s="4">
        <f>146.71*(1-Z1%)</f>
        <v>146.71</v>
      </c>
      <c r="F4525" s="2">
        <v>4</v>
      </c>
      <c r="G4525" s="2"/>
    </row>
    <row r="4526" spans="1:26" customHeight="1" ht="18" hidden="true" outlineLevel="3">
      <c r="A4526" s="2" t="s">
        <v>8516</v>
      </c>
      <c r="B4526" s="3" t="s">
        <v>8515</v>
      </c>
      <c r="C4526" s="2"/>
      <c r="D4526" s="2" t="s">
        <v>16</v>
      </c>
      <c r="E4526" s="4">
        <f>30.73*(1-Z1%)</f>
        <v>30.73</v>
      </c>
      <c r="F4526" s="2">
        <v>1</v>
      </c>
      <c r="G4526" s="2"/>
    </row>
    <row r="4527" spans="1:26" customHeight="1" ht="18" hidden="true" outlineLevel="3">
      <c r="A4527" s="2" t="s">
        <v>8517</v>
      </c>
      <c r="B4527" s="3" t="s">
        <v>8518</v>
      </c>
      <c r="C4527" s="2"/>
      <c r="D4527" s="2" t="s">
        <v>16</v>
      </c>
      <c r="E4527" s="4">
        <f>53.87*(1-Z1%)</f>
        <v>53.87</v>
      </c>
      <c r="F4527" s="2">
        <v>19</v>
      </c>
      <c r="G4527" s="2"/>
    </row>
    <row r="4528" spans="1:26" customHeight="1" ht="18" hidden="true" outlineLevel="3">
      <c r="A4528" s="2" t="s">
        <v>8519</v>
      </c>
      <c r="B4528" s="3" t="s">
        <v>8520</v>
      </c>
      <c r="C4528" s="2"/>
      <c r="D4528" s="2" t="s">
        <v>16</v>
      </c>
      <c r="E4528" s="4">
        <f>71.71*(1-Z1%)</f>
        <v>71.71</v>
      </c>
      <c r="F4528" s="2">
        <v>1</v>
      </c>
      <c r="G4528" s="2"/>
    </row>
    <row r="4529" spans="1:26" customHeight="1" ht="18" hidden="true" outlineLevel="3">
      <c r="A4529" s="2" t="s">
        <v>8521</v>
      </c>
      <c r="B4529" s="3" t="s">
        <v>8522</v>
      </c>
      <c r="C4529" s="2"/>
      <c r="D4529" s="2" t="s">
        <v>16</v>
      </c>
      <c r="E4529" s="4">
        <f>27.60*(1-Z1%)</f>
        <v>27.6</v>
      </c>
      <c r="F4529" s="2">
        <v>3</v>
      </c>
      <c r="G4529" s="2"/>
    </row>
    <row r="4530" spans="1:26" customHeight="1" ht="18" hidden="true" outlineLevel="3">
      <c r="A4530" s="2" t="s">
        <v>8523</v>
      </c>
      <c r="B4530" s="3" t="s">
        <v>8524</v>
      </c>
      <c r="C4530" s="2"/>
      <c r="D4530" s="2" t="s">
        <v>16</v>
      </c>
      <c r="E4530" s="4">
        <f>40.59*(1-Z1%)</f>
        <v>40.59</v>
      </c>
      <c r="F4530" s="2">
        <v>1</v>
      </c>
      <c r="G4530" s="2"/>
    </row>
    <row r="4531" spans="1:26" customHeight="1" ht="18" hidden="true" outlineLevel="3">
      <c r="A4531" s="2" t="s">
        <v>8525</v>
      </c>
      <c r="B4531" s="3" t="s">
        <v>8526</v>
      </c>
      <c r="C4531" s="2"/>
      <c r="D4531" s="2" t="s">
        <v>16</v>
      </c>
      <c r="E4531" s="4">
        <f>27.38*(1-Z1%)</f>
        <v>27.38</v>
      </c>
      <c r="F4531" s="2">
        <v>18</v>
      </c>
      <c r="G4531" s="2"/>
    </row>
    <row r="4532" spans="1:26" customHeight="1" ht="18" hidden="true" outlineLevel="3">
      <c r="A4532" s="2" t="s">
        <v>8527</v>
      </c>
      <c r="B4532" s="3" t="s">
        <v>8528</v>
      </c>
      <c r="C4532" s="2"/>
      <c r="D4532" s="2" t="s">
        <v>16</v>
      </c>
      <c r="E4532" s="4">
        <f>58.14*(1-Z1%)</f>
        <v>58.14</v>
      </c>
      <c r="F4532" s="2">
        <v>3</v>
      </c>
      <c r="G4532" s="2"/>
    </row>
    <row r="4533" spans="1:26" customHeight="1" ht="18" hidden="true" outlineLevel="3">
      <c r="A4533" s="2" t="s">
        <v>8529</v>
      </c>
      <c r="B4533" s="3" t="s">
        <v>8530</v>
      </c>
      <c r="C4533" s="2"/>
      <c r="D4533" s="2" t="s">
        <v>16</v>
      </c>
      <c r="E4533" s="4">
        <f>141.86*(1-Z1%)</f>
        <v>141.86</v>
      </c>
      <c r="F4533" s="2">
        <v>5</v>
      </c>
      <c r="G4533" s="2"/>
    </row>
    <row r="4534" spans="1:26" customHeight="1" ht="18" hidden="true" outlineLevel="3">
      <c r="A4534" s="2" t="s">
        <v>8531</v>
      </c>
      <c r="B4534" s="3" t="s">
        <v>8532</v>
      </c>
      <c r="C4534" s="2"/>
      <c r="D4534" s="2" t="s">
        <v>16</v>
      </c>
      <c r="E4534" s="4">
        <f>435.20*(1-Z1%)</f>
        <v>435.2</v>
      </c>
      <c r="F4534" s="2">
        <v>1</v>
      </c>
      <c r="G4534" s="2"/>
    </row>
    <row r="4535" spans="1:26" customHeight="1" ht="18" hidden="true" outlineLevel="3">
      <c r="A4535" s="2" t="s">
        <v>8533</v>
      </c>
      <c r="B4535" s="3" t="s">
        <v>8534</v>
      </c>
      <c r="C4535" s="2"/>
      <c r="D4535" s="2" t="s">
        <v>16</v>
      </c>
      <c r="E4535" s="4">
        <f>740.43*(1-Z1%)</f>
        <v>740.43</v>
      </c>
      <c r="F4535" s="2">
        <v>2</v>
      </c>
      <c r="G4535" s="2"/>
    </row>
    <row r="4536" spans="1:26" customHeight="1" ht="18" hidden="true" outlineLevel="3">
      <c r="A4536" s="2" t="s">
        <v>8535</v>
      </c>
      <c r="B4536" s="3" t="s">
        <v>8536</v>
      </c>
      <c r="C4536" s="2"/>
      <c r="D4536" s="2" t="s">
        <v>16</v>
      </c>
      <c r="E4536" s="4">
        <f>36.26*(1-Z1%)</f>
        <v>36.26</v>
      </c>
      <c r="F4536" s="2">
        <v>27</v>
      </c>
      <c r="G4536" s="2"/>
    </row>
    <row r="4537" spans="1:26" customHeight="1" ht="18" hidden="true" outlineLevel="3">
      <c r="A4537" s="2" t="s">
        <v>8537</v>
      </c>
      <c r="B4537" s="3" t="s">
        <v>8538</v>
      </c>
      <c r="C4537" s="2"/>
      <c r="D4537" s="2" t="s">
        <v>16</v>
      </c>
      <c r="E4537" s="4">
        <f>38.99*(1-Z1%)</f>
        <v>38.99</v>
      </c>
      <c r="F4537" s="2">
        <v>8</v>
      </c>
      <c r="G4537" s="2"/>
    </row>
    <row r="4538" spans="1:26" customHeight="1" ht="18" hidden="true" outlineLevel="3">
      <c r="A4538" s="2" t="s">
        <v>8539</v>
      </c>
      <c r="B4538" s="3" t="s">
        <v>8540</v>
      </c>
      <c r="C4538" s="2"/>
      <c r="D4538" s="2" t="s">
        <v>16</v>
      </c>
      <c r="E4538" s="4">
        <f>43.32*(1-Z1%)</f>
        <v>43.32</v>
      </c>
      <c r="F4538" s="2">
        <v>8</v>
      </c>
      <c r="G4538" s="2"/>
    </row>
    <row r="4539" spans="1:26" customHeight="1" ht="18" hidden="true" outlineLevel="3">
      <c r="A4539" s="2" t="s">
        <v>8541</v>
      </c>
      <c r="B4539" s="3" t="s">
        <v>8542</v>
      </c>
      <c r="C4539" s="2"/>
      <c r="D4539" s="2" t="s">
        <v>16</v>
      </c>
      <c r="E4539" s="4">
        <f>32.06*(1-Z1%)</f>
        <v>32.06</v>
      </c>
      <c r="F4539" s="2">
        <v>15</v>
      </c>
      <c r="G4539" s="2"/>
    </row>
    <row r="4540" spans="1:26" customHeight="1" ht="18" hidden="true" outlineLevel="3">
      <c r="A4540" s="2" t="s">
        <v>8543</v>
      </c>
      <c r="B4540" s="3" t="s">
        <v>8544</v>
      </c>
      <c r="C4540" s="2"/>
      <c r="D4540" s="2" t="s">
        <v>16</v>
      </c>
      <c r="E4540" s="4">
        <f>53.96*(1-Z1%)</f>
        <v>53.96</v>
      </c>
      <c r="F4540" s="2">
        <v>10</v>
      </c>
      <c r="G4540" s="2"/>
    </row>
    <row r="4541" spans="1:26" customHeight="1" ht="35" hidden="true" outlineLevel="3">
      <c r="A4541" s="5" t="s">
        <v>8545</v>
      </c>
      <c r="B4541" s="5"/>
      <c r="C4541" s="5"/>
      <c r="D4541" s="5"/>
      <c r="E4541" s="5"/>
      <c r="F4541" s="5"/>
      <c r="G4541" s="5"/>
    </row>
    <row r="4542" spans="1:26" customHeight="1" ht="18" hidden="true" outlineLevel="3">
      <c r="A4542" s="2" t="s">
        <v>8546</v>
      </c>
      <c r="B4542" s="3" t="s">
        <v>8547</v>
      </c>
      <c r="C4542" s="2"/>
      <c r="D4542" s="2" t="s">
        <v>16</v>
      </c>
      <c r="E4542" s="4">
        <f>146.21*(1-Z1%)</f>
        <v>146.21</v>
      </c>
      <c r="F4542" s="2">
        <v>10</v>
      </c>
      <c r="G4542" s="2"/>
    </row>
    <row r="4543" spans="1:26" customHeight="1" ht="18" hidden="true" outlineLevel="3">
      <c r="A4543" s="2" t="s">
        <v>8548</v>
      </c>
      <c r="B4543" s="3" t="s">
        <v>8549</v>
      </c>
      <c r="C4543" s="2"/>
      <c r="D4543" s="2" t="s">
        <v>16</v>
      </c>
      <c r="E4543" s="4">
        <f>53.19*(1-Z1%)</f>
        <v>53.19</v>
      </c>
      <c r="F4543" s="2">
        <v>21</v>
      </c>
      <c r="G4543" s="2"/>
    </row>
    <row r="4544" spans="1:26" customHeight="1" ht="36" hidden="true" outlineLevel="3">
      <c r="A4544" s="2" t="s">
        <v>8550</v>
      </c>
      <c r="B4544" s="3" t="s">
        <v>8551</v>
      </c>
      <c r="C4544" s="2"/>
      <c r="D4544" s="2" t="s">
        <v>16</v>
      </c>
      <c r="E4544" s="4">
        <f>261.74*(1-Z1%)</f>
        <v>261.74</v>
      </c>
      <c r="F4544" s="2">
        <v>10</v>
      </c>
      <c r="G4544" s="2"/>
    </row>
    <row r="4545" spans="1:26" customHeight="1" ht="18" hidden="true" outlineLevel="3">
      <c r="A4545" s="2" t="s">
        <v>8552</v>
      </c>
      <c r="B4545" s="3" t="s">
        <v>8553</v>
      </c>
      <c r="C4545" s="2"/>
      <c r="D4545" s="2" t="s">
        <v>16</v>
      </c>
      <c r="E4545" s="4">
        <f>276.27*(1-Z1%)</f>
        <v>276.27</v>
      </c>
      <c r="F4545" s="2">
        <v>9</v>
      </c>
      <c r="G4545" s="2"/>
    </row>
    <row r="4546" spans="1:26" customHeight="1" ht="18" hidden="true" outlineLevel="3">
      <c r="A4546" s="2" t="s">
        <v>8554</v>
      </c>
      <c r="B4546" s="3" t="s">
        <v>8555</v>
      </c>
      <c r="C4546" s="2"/>
      <c r="D4546" s="2" t="s">
        <v>16</v>
      </c>
      <c r="E4546" s="4">
        <f>447.91*(1-Z1%)</f>
        <v>447.91</v>
      </c>
      <c r="F4546" s="2">
        <v>4</v>
      </c>
      <c r="G4546" s="2"/>
    </row>
    <row r="4547" spans="1:26" customHeight="1" ht="18" hidden="true" outlineLevel="3">
      <c r="A4547" s="2" t="s">
        <v>8556</v>
      </c>
      <c r="B4547" s="3" t="s">
        <v>8557</v>
      </c>
      <c r="C4547" s="2"/>
      <c r="D4547" s="2" t="s">
        <v>16</v>
      </c>
      <c r="E4547" s="4">
        <f>403.24*(1-Z1%)</f>
        <v>403.24</v>
      </c>
      <c r="F4547" s="2">
        <v>2</v>
      </c>
      <c r="G4547" s="2"/>
    </row>
    <row r="4548" spans="1:26" customHeight="1" ht="18" hidden="true" outlineLevel="3">
      <c r="A4548" s="2" t="s">
        <v>8558</v>
      </c>
      <c r="B4548" s="3" t="s">
        <v>8559</v>
      </c>
      <c r="C4548" s="2"/>
      <c r="D4548" s="2" t="s">
        <v>16</v>
      </c>
      <c r="E4548" s="4">
        <f>616.03*(1-Z1%)</f>
        <v>616.03</v>
      </c>
      <c r="F4548" s="2">
        <v>3</v>
      </c>
      <c r="G4548" s="2"/>
    </row>
    <row r="4549" spans="1:26" customHeight="1" ht="18" hidden="true" outlineLevel="3">
      <c r="A4549" s="2" t="s">
        <v>8560</v>
      </c>
      <c r="B4549" s="3" t="s">
        <v>8561</v>
      </c>
      <c r="C4549" s="2"/>
      <c r="D4549" s="2" t="s">
        <v>16</v>
      </c>
      <c r="E4549" s="4">
        <f>559.22*(1-Z1%)</f>
        <v>559.22</v>
      </c>
      <c r="F4549" s="2">
        <v>2</v>
      </c>
      <c r="G4549" s="2"/>
    </row>
    <row r="4550" spans="1:26" customHeight="1" ht="18" hidden="true" outlineLevel="3">
      <c r="A4550" s="2" t="s">
        <v>8562</v>
      </c>
      <c r="B4550" s="3" t="s">
        <v>8563</v>
      </c>
      <c r="C4550" s="2"/>
      <c r="D4550" s="2" t="s">
        <v>16</v>
      </c>
      <c r="E4550" s="4">
        <f>927.57*(1-Z1%)</f>
        <v>927.57</v>
      </c>
      <c r="F4550" s="2">
        <v>3</v>
      </c>
      <c r="G4550" s="2"/>
    </row>
    <row r="4551" spans="1:26" customHeight="1" ht="18" hidden="true" outlineLevel="3">
      <c r="A4551" s="2" t="s">
        <v>8564</v>
      </c>
      <c r="B4551" s="3" t="s">
        <v>8565</v>
      </c>
      <c r="C4551" s="2"/>
      <c r="D4551" s="2" t="s">
        <v>16</v>
      </c>
      <c r="E4551" s="4">
        <f>903.36*(1-Z1%)</f>
        <v>903.36</v>
      </c>
      <c r="F4551" s="2">
        <v>2</v>
      </c>
      <c r="G4551" s="2"/>
    </row>
    <row r="4552" spans="1:26" customHeight="1" ht="18" hidden="true" outlineLevel="3">
      <c r="A4552" s="2" t="s">
        <v>8566</v>
      </c>
      <c r="B4552" s="3" t="s">
        <v>8567</v>
      </c>
      <c r="C4552" s="2"/>
      <c r="D4552" s="2" t="s">
        <v>16</v>
      </c>
      <c r="E4552" s="4">
        <f>1328.46*(1-Z1%)</f>
        <v>1328.46</v>
      </c>
      <c r="F4552" s="2">
        <v>2</v>
      </c>
      <c r="G4552" s="2"/>
    </row>
    <row r="4553" spans="1:26" customHeight="1" ht="18" hidden="true" outlineLevel="3">
      <c r="A4553" s="2" t="s">
        <v>8568</v>
      </c>
      <c r="B4553" s="3" t="s">
        <v>8569</v>
      </c>
      <c r="C4553" s="2"/>
      <c r="D4553" s="2" t="s">
        <v>16</v>
      </c>
      <c r="E4553" s="4">
        <f>1394.30*(1-Z1%)</f>
        <v>1394.3</v>
      </c>
      <c r="F4553" s="2">
        <v>4</v>
      </c>
      <c r="G4553" s="2"/>
    </row>
    <row r="4554" spans="1:26" customHeight="1" ht="18" hidden="true" outlineLevel="3">
      <c r="A4554" s="2" t="s">
        <v>8570</v>
      </c>
      <c r="B4554" s="3" t="s">
        <v>8571</v>
      </c>
      <c r="C4554" s="2"/>
      <c r="D4554" s="2" t="s">
        <v>16</v>
      </c>
      <c r="E4554" s="4">
        <f>141.02*(1-Z1%)</f>
        <v>141.02</v>
      </c>
      <c r="F4554" s="2">
        <v>1</v>
      </c>
      <c r="G4554" s="2"/>
    </row>
    <row r="4555" spans="1:26" customHeight="1" ht="18" hidden="true" outlineLevel="3">
      <c r="A4555" s="2" t="s">
        <v>8572</v>
      </c>
      <c r="B4555" s="3" t="s">
        <v>8573</v>
      </c>
      <c r="C4555" s="2"/>
      <c r="D4555" s="2" t="s">
        <v>16</v>
      </c>
      <c r="E4555" s="4">
        <f>129.38*(1-Z1%)</f>
        <v>129.38</v>
      </c>
      <c r="F4555" s="2">
        <v>17</v>
      </c>
      <c r="G4555" s="2"/>
    </row>
    <row r="4556" spans="1:26" customHeight="1" ht="18" hidden="true" outlineLevel="3">
      <c r="A4556" s="2" t="s">
        <v>8574</v>
      </c>
      <c r="B4556" s="3" t="s">
        <v>8575</v>
      </c>
      <c r="C4556" s="2"/>
      <c r="D4556" s="2" t="s">
        <v>16</v>
      </c>
      <c r="E4556" s="4">
        <f>501.03*(1-Z1%)</f>
        <v>501.03</v>
      </c>
      <c r="F4556" s="2">
        <v>1</v>
      </c>
      <c r="G4556" s="2"/>
    </row>
    <row r="4557" spans="1:26" customHeight="1" ht="36" hidden="true" outlineLevel="3">
      <c r="A4557" s="2" t="s">
        <v>8576</v>
      </c>
      <c r="B4557" s="3" t="s">
        <v>8577</v>
      </c>
      <c r="C4557" s="2"/>
      <c r="D4557" s="2" t="s">
        <v>16</v>
      </c>
      <c r="E4557" s="4">
        <f>243.23*(1-Z1%)</f>
        <v>243.23</v>
      </c>
      <c r="F4557" s="2">
        <v>3</v>
      </c>
      <c r="G4557" s="2"/>
    </row>
    <row r="4558" spans="1:26" customHeight="1" ht="18" hidden="true" outlineLevel="3">
      <c r="A4558" s="2" t="s">
        <v>8578</v>
      </c>
      <c r="B4558" s="3" t="s">
        <v>8579</v>
      </c>
      <c r="C4558" s="2"/>
      <c r="D4558" s="2" t="s">
        <v>16</v>
      </c>
      <c r="E4558" s="4">
        <f>1057.63*(1-Z1%)</f>
        <v>1057.63</v>
      </c>
      <c r="F4558" s="2">
        <v>1</v>
      </c>
      <c r="G4558" s="2"/>
    </row>
    <row r="4559" spans="1:26" customHeight="1" ht="18" hidden="true" outlineLevel="3">
      <c r="A4559" s="2" t="s">
        <v>8580</v>
      </c>
      <c r="B4559" s="3" t="s">
        <v>8581</v>
      </c>
      <c r="C4559" s="2"/>
      <c r="D4559" s="2" t="s">
        <v>16</v>
      </c>
      <c r="E4559" s="4">
        <f>84.34*(1-Z1%)</f>
        <v>84.34</v>
      </c>
      <c r="F4559" s="2">
        <v>10</v>
      </c>
      <c r="G4559" s="2"/>
    </row>
    <row r="4560" spans="1:26" customHeight="1" ht="18" hidden="true" outlineLevel="3">
      <c r="A4560" s="2" t="s">
        <v>8582</v>
      </c>
      <c r="B4560" s="3" t="s">
        <v>8583</v>
      </c>
      <c r="C4560" s="2"/>
      <c r="D4560" s="2" t="s">
        <v>16</v>
      </c>
      <c r="E4560" s="4">
        <f>117.31*(1-Z1%)</f>
        <v>117.31</v>
      </c>
      <c r="F4560" s="2">
        <v>11</v>
      </c>
      <c r="G4560" s="2"/>
    </row>
    <row r="4561" spans="1:26" customHeight="1" ht="18" hidden="true" outlineLevel="3">
      <c r="A4561" s="2" t="s">
        <v>8584</v>
      </c>
      <c r="B4561" s="3" t="s">
        <v>8585</v>
      </c>
      <c r="C4561" s="2"/>
      <c r="D4561" s="2" t="s">
        <v>16</v>
      </c>
      <c r="E4561" s="4">
        <f>132.30*(1-Z1%)</f>
        <v>132.3</v>
      </c>
      <c r="F4561" s="2">
        <v>10</v>
      </c>
      <c r="G4561" s="2"/>
    </row>
    <row r="4562" spans="1:26" customHeight="1" ht="18" hidden="true" outlineLevel="3">
      <c r="A4562" s="2" t="s">
        <v>8586</v>
      </c>
      <c r="B4562" s="3" t="s">
        <v>8587</v>
      </c>
      <c r="C4562" s="2"/>
      <c r="D4562" s="2" t="s">
        <v>16</v>
      </c>
      <c r="E4562" s="4">
        <f>231.05*(1-Z1%)</f>
        <v>231.05</v>
      </c>
      <c r="F4562" s="2">
        <v>5</v>
      </c>
      <c r="G4562" s="2"/>
    </row>
    <row r="4563" spans="1:26" customHeight="1" ht="18" hidden="true" outlineLevel="3">
      <c r="A4563" s="2" t="s">
        <v>8588</v>
      </c>
      <c r="B4563" s="3" t="s">
        <v>8589</v>
      </c>
      <c r="C4563" s="2"/>
      <c r="D4563" s="2" t="s">
        <v>16</v>
      </c>
      <c r="E4563" s="4">
        <f>280.55*(1-Z1%)</f>
        <v>280.55</v>
      </c>
      <c r="F4563" s="2">
        <v>10</v>
      </c>
      <c r="G4563" s="2"/>
    </row>
    <row r="4564" spans="1:26" customHeight="1" ht="36" hidden="true" outlineLevel="3">
      <c r="A4564" s="2" t="s">
        <v>8590</v>
      </c>
      <c r="B4564" s="3" t="s">
        <v>8591</v>
      </c>
      <c r="C4564" s="2"/>
      <c r="D4564" s="2" t="s">
        <v>16</v>
      </c>
      <c r="E4564" s="4">
        <f>117.06*(1-Z1%)</f>
        <v>117.06</v>
      </c>
      <c r="F4564" s="2">
        <v>10</v>
      </c>
      <c r="G4564" s="2"/>
    </row>
    <row r="4565" spans="1:26" customHeight="1" ht="36" hidden="true" outlineLevel="3">
      <c r="A4565" s="2" t="s">
        <v>8592</v>
      </c>
      <c r="B4565" s="3" t="s">
        <v>8593</v>
      </c>
      <c r="C4565" s="2"/>
      <c r="D4565" s="2" t="s">
        <v>16</v>
      </c>
      <c r="E4565" s="4">
        <f>131.59*(1-Z1%)</f>
        <v>131.59</v>
      </c>
      <c r="F4565" s="2">
        <v>17</v>
      </c>
      <c r="G4565" s="2"/>
    </row>
    <row r="4566" spans="1:26" customHeight="1" ht="36" hidden="true" outlineLevel="3">
      <c r="A4566" s="2" t="s">
        <v>8594</v>
      </c>
      <c r="B4566" s="3" t="s">
        <v>8595</v>
      </c>
      <c r="C4566" s="2"/>
      <c r="D4566" s="2" t="s">
        <v>16</v>
      </c>
      <c r="E4566" s="4">
        <f>158.05*(1-Z1%)</f>
        <v>158.05</v>
      </c>
      <c r="F4566" s="2">
        <v>18</v>
      </c>
      <c r="G4566" s="2"/>
    </row>
    <row r="4567" spans="1:26" customHeight="1" ht="18" hidden="true" outlineLevel="3">
      <c r="A4567" s="2" t="s">
        <v>8596</v>
      </c>
      <c r="B4567" s="3" t="s">
        <v>8597</v>
      </c>
      <c r="C4567" s="2"/>
      <c r="D4567" s="2" t="s">
        <v>16</v>
      </c>
      <c r="E4567" s="4">
        <f>134.67*(1-Z1%)</f>
        <v>134.67</v>
      </c>
      <c r="F4567" s="2">
        <v>14</v>
      </c>
      <c r="G4567" s="2"/>
    </row>
    <row r="4568" spans="1:26" customHeight="1" ht="18" hidden="true" outlineLevel="3">
      <c r="A4568" s="2" t="s">
        <v>8598</v>
      </c>
      <c r="B4568" s="3" t="s">
        <v>8599</v>
      </c>
      <c r="C4568" s="2"/>
      <c r="D4568" s="2" t="s">
        <v>16</v>
      </c>
      <c r="E4568" s="4">
        <f>171.99*(1-Z1%)</f>
        <v>171.99</v>
      </c>
      <c r="F4568" s="2">
        <v>10</v>
      </c>
      <c r="G4568" s="2"/>
    </row>
    <row r="4569" spans="1:26" customHeight="1" ht="18" hidden="true" outlineLevel="3">
      <c r="A4569" s="2" t="s">
        <v>8600</v>
      </c>
      <c r="B4569" s="3" t="s">
        <v>8601</v>
      </c>
      <c r="C4569" s="2"/>
      <c r="D4569" s="2" t="s">
        <v>16</v>
      </c>
      <c r="E4569" s="4">
        <f>357.15*(1-Z1%)</f>
        <v>357.15</v>
      </c>
      <c r="F4569" s="2">
        <v>1</v>
      </c>
      <c r="G4569" s="2"/>
    </row>
    <row r="4570" spans="1:26" customHeight="1" ht="18" hidden="true" outlineLevel="3">
      <c r="A4570" s="2" t="s">
        <v>8602</v>
      </c>
      <c r="B4570" s="3" t="s">
        <v>8603</v>
      </c>
      <c r="C4570" s="2"/>
      <c r="D4570" s="2" t="s">
        <v>16</v>
      </c>
      <c r="E4570" s="4">
        <f>156.46*(1-Z1%)</f>
        <v>156.46</v>
      </c>
      <c r="F4570" s="2">
        <v>3</v>
      </c>
      <c r="G4570" s="2"/>
    </row>
    <row r="4571" spans="1:26" customHeight="1" ht="18" hidden="true" outlineLevel="3">
      <c r="A4571" s="2" t="s">
        <v>8604</v>
      </c>
      <c r="B4571" s="3" t="s">
        <v>8605</v>
      </c>
      <c r="C4571" s="2"/>
      <c r="D4571" s="2" t="s">
        <v>16</v>
      </c>
      <c r="E4571" s="4">
        <f>357.15*(1-Z1%)</f>
        <v>357.15</v>
      </c>
      <c r="F4571" s="2">
        <v>5</v>
      </c>
      <c r="G4571" s="2"/>
    </row>
    <row r="4572" spans="1:26" customHeight="1" ht="36" hidden="true" outlineLevel="3">
      <c r="A4572" s="2" t="s">
        <v>8606</v>
      </c>
      <c r="B4572" s="3" t="s">
        <v>8607</v>
      </c>
      <c r="C4572" s="2"/>
      <c r="D4572" s="2" t="s">
        <v>16</v>
      </c>
      <c r="E4572" s="4">
        <f>449.92*(1-Z1%)</f>
        <v>449.92</v>
      </c>
      <c r="F4572" s="2">
        <v>4</v>
      </c>
      <c r="G4572" s="2"/>
    </row>
    <row r="4573" spans="1:26" customHeight="1" ht="35" hidden="true" outlineLevel="3">
      <c r="A4573" s="5" t="s">
        <v>8608</v>
      </c>
      <c r="B4573" s="5"/>
      <c r="C4573" s="5"/>
      <c r="D4573" s="5"/>
      <c r="E4573" s="5"/>
      <c r="F4573" s="5"/>
      <c r="G4573" s="5"/>
    </row>
    <row r="4574" spans="1:26" customHeight="1" ht="18" hidden="true" outlineLevel="3">
      <c r="A4574" s="2" t="s">
        <v>8609</v>
      </c>
      <c r="B4574" s="3" t="s">
        <v>8610</v>
      </c>
      <c r="C4574" s="2"/>
      <c r="D4574" s="2" t="s">
        <v>16</v>
      </c>
      <c r="E4574" s="4">
        <f>42.57*(1-Z1%)</f>
        <v>42.57</v>
      </c>
      <c r="F4574" s="2">
        <v>30</v>
      </c>
      <c r="G4574" s="2"/>
    </row>
    <row r="4575" spans="1:26" customHeight="1" ht="36" hidden="true" outlineLevel="3">
      <c r="A4575" s="2" t="s">
        <v>8611</v>
      </c>
      <c r="B4575" s="3" t="s">
        <v>8612</v>
      </c>
      <c r="C4575" s="2"/>
      <c r="D4575" s="2" t="s">
        <v>16</v>
      </c>
      <c r="E4575" s="4">
        <f>70.25*(1-Z1%)</f>
        <v>70.25</v>
      </c>
      <c r="F4575" s="2">
        <v>1</v>
      </c>
      <c r="G4575" s="2"/>
    </row>
    <row r="4576" spans="1:26" customHeight="1" ht="18" hidden="true" outlineLevel="3">
      <c r="A4576" s="2" t="s">
        <v>8613</v>
      </c>
      <c r="B4576" s="3" t="s">
        <v>8614</v>
      </c>
      <c r="C4576" s="2"/>
      <c r="D4576" s="2" t="s">
        <v>16</v>
      </c>
      <c r="E4576" s="4">
        <f>77.98*(1-Z1%)</f>
        <v>77.98</v>
      </c>
      <c r="F4576" s="2">
        <v>10</v>
      </c>
      <c r="G4576" s="2"/>
    </row>
    <row r="4577" spans="1:26" customHeight="1" ht="18" hidden="true" outlineLevel="3">
      <c r="A4577" s="2" t="s">
        <v>8615</v>
      </c>
      <c r="B4577" s="3" t="s">
        <v>8616</v>
      </c>
      <c r="C4577" s="2"/>
      <c r="D4577" s="2" t="s">
        <v>16</v>
      </c>
      <c r="E4577" s="4">
        <f>62.50*(1-Z1%)</f>
        <v>62.5</v>
      </c>
      <c r="F4577" s="2">
        <v>10</v>
      </c>
      <c r="G4577" s="2"/>
    </row>
    <row r="4578" spans="1:26" customHeight="1" ht="18" hidden="true" outlineLevel="3">
      <c r="A4578" s="2" t="s">
        <v>8617</v>
      </c>
      <c r="B4578" s="3" t="s">
        <v>8618</v>
      </c>
      <c r="C4578" s="2"/>
      <c r="D4578" s="2" t="s">
        <v>16</v>
      </c>
      <c r="E4578" s="4">
        <f>57.42*(1-Z1%)</f>
        <v>57.42</v>
      </c>
      <c r="F4578" s="2">
        <v>11</v>
      </c>
      <c r="G4578" s="2"/>
    </row>
    <row r="4579" spans="1:26" customHeight="1" ht="18" hidden="true" outlineLevel="3">
      <c r="A4579" s="2" t="s">
        <v>8619</v>
      </c>
      <c r="B4579" s="3" t="s">
        <v>8620</v>
      </c>
      <c r="C4579" s="2"/>
      <c r="D4579" s="2" t="s">
        <v>16</v>
      </c>
      <c r="E4579" s="4">
        <f>80.94*(1-Z1%)</f>
        <v>80.94</v>
      </c>
      <c r="F4579" s="2">
        <v>24</v>
      </c>
      <c r="G4579" s="2"/>
    </row>
    <row r="4580" spans="1:26" customHeight="1" ht="35" hidden="true" outlineLevel="3">
      <c r="A4580" s="5" t="s">
        <v>8621</v>
      </c>
      <c r="B4580" s="5"/>
      <c r="C4580" s="5"/>
      <c r="D4580" s="5"/>
      <c r="E4580" s="5"/>
      <c r="F4580" s="5"/>
      <c r="G4580" s="5"/>
    </row>
    <row r="4581" spans="1:26" customHeight="1" ht="18" hidden="true" outlineLevel="3">
      <c r="A4581" s="2" t="s">
        <v>8622</v>
      </c>
      <c r="B4581" s="3" t="s">
        <v>8623</v>
      </c>
      <c r="C4581" s="2"/>
      <c r="D4581" s="2" t="s">
        <v>16</v>
      </c>
      <c r="E4581" s="4">
        <f>46.04*(1-Z1%)</f>
        <v>46.04</v>
      </c>
      <c r="F4581" s="2">
        <v>4</v>
      </c>
      <c r="G4581" s="2"/>
    </row>
    <row r="4582" spans="1:26" customHeight="1" ht="35" hidden="true" outlineLevel="3">
      <c r="A4582" s="5" t="s">
        <v>8624</v>
      </c>
      <c r="B4582" s="5"/>
      <c r="C4582" s="5"/>
      <c r="D4582" s="5"/>
      <c r="E4582" s="5"/>
      <c r="F4582" s="5"/>
      <c r="G4582" s="5"/>
    </row>
    <row r="4583" spans="1:26" customHeight="1" ht="18" hidden="true" outlineLevel="3">
      <c r="A4583" s="2" t="s">
        <v>8625</v>
      </c>
      <c r="B4583" s="3" t="s">
        <v>8626</v>
      </c>
      <c r="C4583" s="2"/>
      <c r="D4583" s="2" t="s">
        <v>16</v>
      </c>
      <c r="E4583" s="4">
        <f>136.39*(1-Z1%)</f>
        <v>136.39</v>
      </c>
      <c r="F4583" s="2">
        <v>2</v>
      </c>
      <c r="G4583" s="2"/>
    </row>
    <row r="4584" spans="1:26" customHeight="1" ht="18" hidden="true" outlineLevel="3">
      <c r="A4584" s="2" t="s">
        <v>8627</v>
      </c>
      <c r="B4584" s="3" t="s">
        <v>8628</v>
      </c>
      <c r="C4584" s="2"/>
      <c r="D4584" s="2" t="s">
        <v>16</v>
      </c>
      <c r="E4584" s="4">
        <f>58.81*(1-Z1%)</f>
        <v>58.81</v>
      </c>
      <c r="F4584" s="2">
        <v>10</v>
      </c>
      <c r="G4584" s="2"/>
    </row>
    <row r="4585" spans="1:26" customHeight="1" ht="18" hidden="true" outlineLevel="3">
      <c r="A4585" s="2" t="s">
        <v>8629</v>
      </c>
      <c r="B4585" s="3" t="s">
        <v>8628</v>
      </c>
      <c r="C4585" s="2"/>
      <c r="D4585" s="2" t="s">
        <v>16</v>
      </c>
      <c r="E4585" s="4">
        <f>238.18*(1-Z1%)</f>
        <v>238.18</v>
      </c>
      <c r="F4585" s="2">
        <v>10</v>
      </c>
      <c r="G4585" s="2"/>
    </row>
    <row r="4586" spans="1:26" customHeight="1" ht="18" hidden="true" outlineLevel="3">
      <c r="A4586" s="2" t="s">
        <v>8630</v>
      </c>
      <c r="B4586" s="3" t="s">
        <v>8631</v>
      </c>
      <c r="C4586" s="2"/>
      <c r="D4586" s="2" t="s">
        <v>16</v>
      </c>
      <c r="E4586" s="4">
        <f>428.96*(1-Z1%)</f>
        <v>428.96</v>
      </c>
      <c r="F4586" s="2">
        <v>9</v>
      </c>
      <c r="G4586" s="2"/>
    </row>
    <row r="4587" spans="1:26" customHeight="1" ht="18" hidden="true" outlineLevel="3">
      <c r="A4587" s="2" t="s">
        <v>8632</v>
      </c>
      <c r="B4587" s="3" t="s">
        <v>8633</v>
      </c>
      <c r="C4587" s="2"/>
      <c r="D4587" s="2" t="s">
        <v>16</v>
      </c>
      <c r="E4587" s="4">
        <f>293.91*(1-Z1%)</f>
        <v>293.91</v>
      </c>
      <c r="F4587" s="2">
        <v>9</v>
      </c>
      <c r="G4587" s="2"/>
    </row>
    <row r="4588" spans="1:26" customHeight="1" ht="18" hidden="true" outlineLevel="3">
      <c r="A4588" s="2" t="s">
        <v>8634</v>
      </c>
      <c r="B4588" s="3" t="s">
        <v>8635</v>
      </c>
      <c r="C4588" s="2"/>
      <c r="D4588" s="2" t="s">
        <v>16</v>
      </c>
      <c r="E4588" s="4">
        <f>455.53*(1-Z1%)</f>
        <v>455.53</v>
      </c>
      <c r="F4588" s="2">
        <v>1</v>
      </c>
      <c r="G4588" s="2"/>
    </row>
    <row r="4589" spans="1:26" customHeight="1" ht="35" hidden="true" outlineLevel="3">
      <c r="A4589" s="5" t="s">
        <v>8636</v>
      </c>
      <c r="B4589" s="5"/>
      <c r="C4589" s="5"/>
      <c r="D4589" s="5"/>
      <c r="E4589" s="5"/>
      <c r="F4589" s="5"/>
      <c r="G4589" s="5"/>
    </row>
    <row r="4590" spans="1:26" customHeight="1" ht="36" hidden="true" outlineLevel="3">
      <c r="A4590" s="2" t="s">
        <v>8637</v>
      </c>
      <c r="B4590" s="3" t="s">
        <v>8638</v>
      </c>
      <c r="C4590" s="2"/>
      <c r="D4590" s="2" t="s">
        <v>16</v>
      </c>
      <c r="E4590" s="4">
        <f>428.85*(1-Z1%)</f>
        <v>428.85</v>
      </c>
      <c r="F4590" s="2">
        <v>2</v>
      </c>
      <c r="G4590" s="2"/>
    </row>
    <row r="4591" spans="1:26" customHeight="1" ht="36" hidden="true" outlineLevel="3">
      <c r="A4591" s="2" t="s">
        <v>8639</v>
      </c>
      <c r="B4591" s="3" t="s">
        <v>8640</v>
      </c>
      <c r="C4591" s="2"/>
      <c r="D4591" s="2" t="s">
        <v>16</v>
      </c>
      <c r="E4591" s="4">
        <f>337.97*(1-Z1%)</f>
        <v>337.97</v>
      </c>
      <c r="F4591" s="2">
        <v>1</v>
      </c>
      <c r="G4591" s="2"/>
    </row>
    <row r="4592" spans="1:26" customHeight="1" ht="36" hidden="true" outlineLevel="3">
      <c r="A4592" s="2" t="s">
        <v>8641</v>
      </c>
      <c r="B4592" s="3" t="s">
        <v>8642</v>
      </c>
      <c r="C4592" s="2"/>
      <c r="D4592" s="2" t="s">
        <v>16</v>
      </c>
      <c r="E4592" s="4">
        <f>351.02*(1-Z1%)</f>
        <v>351.02</v>
      </c>
      <c r="F4592" s="2">
        <v>6</v>
      </c>
      <c r="G4592" s="2"/>
    </row>
    <row r="4593" spans="1:26" customHeight="1" ht="36" hidden="true" outlineLevel="3">
      <c r="A4593" s="2" t="s">
        <v>8643</v>
      </c>
      <c r="B4593" s="3" t="s">
        <v>8644</v>
      </c>
      <c r="C4593" s="2"/>
      <c r="D4593" s="2" t="s">
        <v>16</v>
      </c>
      <c r="E4593" s="4">
        <f>351.32*(1-Z1%)</f>
        <v>351.32</v>
      </c>
      <c r="F4593" s="2">
        <v>8</v>
      </c>
      <c r="G4593" s="2"/>
    </row>
    <row r="4594" spans="1:26" customHeight="1" ht="36" hidden="true" outlineLevel="3">
      <c r="A4594" s="2" t="s">
        <v>8645</v>
      </c>
      <c r="B4594" s="3" t="s">
        <v>8646</v>
      </c>
      <c r="C4594" s="2"/>
      <c r="D4594" s="2" t="s">
        <v>16</v>
      </c>
      <c r="E4594" s="4">
        <f>240.17*(1-Z1%)</f>
        <v>240.17</v>
      </c>
      <c r="F4594" s="2">
        <v>10</v>
      </c>
      <c r="G4594" s="2"/>
    </row>
    <row r="4595" spans="1:26" customHeight="1" ht="36" hidden="true" outlineLevel="3">
      <c r="A4595" s="2" t="s">
        <v>8647</v>
      </c>
      <c r="B4595" s="3" t="s">
        <v>8648</v>
      </c>
      <c r="C4595" s="2"/>
      <c r="D4595" s="2" t="s">
        <v>16</v>
      </c>
      <c r="E4595" s="4">
        <f>262.24*(1-Z1%)</f>
        <v>262.24</v>
      </c>
      <c r="F4595" s="2">
        <v>3</v>
      </c>
      <c r="G4595" s="2"/>
    </row>
    <row r="4596" spans="1:26" customHeight="1" ht="36" hidden="true" outlineLevel="3">
      <c r="A4596" s="2" t="s">
        <v>8649</v>
      </c>
      <c r="B4596" s="3" t="s">
        <v>8650</v>
      </c>
      <c r="C4596" s="2"/>
      <c r="D4596" s="2" t="s">
        <v>16</v>
      </c>
      <c r="E4596" s="4">
        <f>241.00*(1-Z1%)</f>
        <v>241</v>
      </c>
      <c r="F4596" s="2">
        <v>8</v>
      </c>
      <c r="G4596" s="2"/>
    </row>
    <row r="4597" spans="1:26" customHeight="1" ht="36" hidden="true" outlineLevel="3">
      <c r="A4597" s="2" t="s">
        <v>8651</v>
      </c>
      <c r="B4597" s="3" t="s">
        <v>8652</v>
      </c>
      <c r="C4597" s="2"/>
      <c r="D4597" s="2" t="s">
        <v>16</v>
      </c>
      <c r="E4597" s="4">
        <f>217.22*(1-Z1%)</f>
        <v>217.22</v>
      </c>
      <c r="F4597" s="2">
        <v>9</v>
      </c>
      <c r="G4597" s="2"/>
    </row>
    <row r="4598" spans="1:26" customHeight="1" ht="36" hidden="true" outlineLevel="3">
      <c r="A4598" s="2" t="s">
        <v>8653</v>
      </c>
      <c r="B4598" s="3" t="s">
        <v>8654</v>
      </c>
      <c r="C4598" s="2"/>
      <c r="D4598" s="2" t="s">
        <v>16</v>
      </c>
      <c r="E4598" s="4">
        <f>218.88*(1-Z1%)</f>
        <v>218.88</v>
      </c>
      <c r="F4598" s="2">
        <v>6</v>
      </c>
      <c r="G4598" s="2"/>
    </row>
    <row r="4599" spans="1:26" customHeight="1" ht="36" hidden="true" outlineLevel="3">
      <c r="A4599" s="2" t="s">
        <v>8655</v>
      </c>
      <c r="B4599" s="3" t="s">
        <v>8656</v>
      </c>
      <c r="C4599" s="2"/>
      <c r="D4599" s="2" t="s">
        <v>16</v>
      </c>
      <c r="E4599" s="4">
        <f>308.81*(1-Z1%)</f>
        <v>308.81</v>
      </c>
      <c r="F4599" s="2">
        <v>9</v>
      </c>
      <c r="G4599" s="2"/>
    </row>
    <row r="4600" spans="1:26" customHeight="1" ht="36" hidden="true" outlineLevel="3">
      <c r="A4600" s="2" t="s">
        <v>8657</v>
      </c>
      <c r="B4600" s="3" t="s">
        <v>8658</v>
      </c>
      <c r="C4600" s="2"/>
      <c r="D4600" s="2" t="s">
        <v>16</v>
      </c>
      <c r="E4600" s="4">
        <f>308.81*(1-Z1%)</f>
        <v>308.81</v>
      </c>
      <c r="F4600" s="2">
        <v>9</v>
      </c>
      <c r="G4600" s="2"/>
    </row>
    <row r="4601" spans="1:26" customHeight="1" ht="18" hidden="true" outlineLevel="3">
      <c r="A4601" s="2" t="s">
        <v>8659</v>
      </c>
      <c r="B4601" s="3" t="s">
        <v>8660</v>
      </c>
      <c r="C4601" s="2"/>
      <c r="D4601" s="2" t="s">
        <v>16</v>
      </c>
      <c r="E4601" s="4">
        <f>229.25*(1-Z1%)</f>
        <v>229.25</v>
      </c>
      <c r="F4601" s="2">
        <v>7</v>
      </c>
      <c r="G4601" s="2"/>
    </row>
    <row r="4602" spans="1:26" customHeight="1" ht="36" hidden="true" outlineLevel="3">
      <c r="A4602" s="2" t="s">
        <v>8661</v>
      </c>
      <c r="B4602" s="3" t="s">
        <v>8662</v>
      </c>
      <c r="C4602" s="2"/>
      <c r="D4602" s="2" t="s">
        <v>16</v>
      </c>
      <c r="E4602" s="4">
        <f>208.13*(1-Z1%)</f>
        <v>208.13</v>
      </c>
      <c r="F4602" s="2">
        <v>1</v>
      </c>
      <c r="G4602" s="2"/>
    </row>
    <row r="4603" spans="1:26" customHeight="1" ht="36" hidden="true" outlineLevel="3">
      <c r="A4603" s="2" t="s">
        <v>8663</v>
      </c>
      <c r="B4603" s="3" t="s">
        <v>8664</v>
      </c>
      <c r="C4603" s="2"/>
      <c r="D4603" s="2" t="s">
        <v>16</v>
      </c>
      <c r="E4603" s="4">
        <f>208.97*(1-Z1%)</f>
        <v>208.97</v>
      </c>
      <c r="F4603" s="2">
        <v>9</v>
      </c>
      <c r="G4603" s="2"/>
    </row>
    <row r="4604" spans="1:26" customHeight="1" ht="18" hidden="true" outlineLevel="3">
      <c r="A4604" s="2" t="s">
        <v>8665</v>
      </c>
      <c r="B4604" s="3" t="s">
        <v>8666</v>
      </c>
      <c r="C4604" s="2"/>
      <c r="D4604" s="2" t="s">
        <v>16</v>
      </c>
      <c r="E4604" s="4">
        <f>738.67*(1-Z1%)</f>
        <v>738.67</v>
      </c>
      <c r="F4604" s="2">
        <v>1</v>
      </c>
      <c r="G4604" s="2"/>
    </row>
    <row r="4605" spans="1:26" customHeight="1" ht="18" hidden="true" outlineLevel="3">
      <c r="A4605" s="2" t="s">
        <v>8667</v>
      </c>
      <c r="B4605" s="3" t="s">
        <v>8668</v>
      </c>
      <c r="C4605" s="2"/>
      <c r="D4605" s="2" t="s">
        <v>16</v>
      </c>
      <c r="E4605" s="4">
        <f>11.51*(1-Z1%)</f>
        <v>11.51</v>
      </c>
      <c r="F4605" s="2">
        <v>15</v>
      </c>
      <c r="G4605" s="2"/>
    </row>
    <row r="4606" spans="1:26" customHeight="1" ht="18" hidden="true" outlineLevel="3">
      <c r="A4606" s="2" t="s">
        <v>8669</v>
      </c>
      <c r="B4606" s="3" t="s">
        <v>8670</v>
      </c>
      <c r="C4606" s="2"/>
      <c r="D4606" s="2" t="s">
        <v>16</v>
      </c>
      <c r="E4606" s="4">
        <f>222.53*(1-Z1%)</f>
        <v>222.53</v>
      </c>
      <c r="F4606" s="2">
        <v>9</v>
      </c>
      <c r="G4606" s="2"/>
    </row>
    <row r="4607" spans="1:26" customHeight="1" ht="36" hidden="true" outlineLevel="3">
      <c r="A4607" s="2" t="s">
        <v>8671</v>
      </c>
      <c r="B4607" s="3" t="s">
        <v>8672</v>
      </c>
      <c r="C4607" s="2"/>
      <c r="D4607" s="2" t="s">
        <v>16</v>
      </c>
      <c r="E4607" s="4">
        <f>382.98*(1-Z1%)</f>
        <v>382.98</v>
      </c>
      <c r="F4607" s="2">
        <v>2</v>
      </c>
      <c r="G4607" s="2"/>
    </row>
    <row r="4608" spans="1:26" customHeight="1" ht="36" hidden="true" outlineLevel="3">
      <c r="A4608" s="2" t="s">
        <v>8673</v>
      </c>
      <c r="B4608" s="3" t="s">
        <v>8674</v>
      </c>
      <c r="C4608" s="2"/>
      <c r="D4608" s="2" t="s">
        <v>16</v>
      </c>
      <c r="E4608" s="4">
        <f>668.41*(1-Z1%)</f>
        <v>668.41</v>
      </c>
      <c r="F4608" s="2">
        <v>1</v>
      </c>
      <c r="G4608" s="2"/>
    </row>
    <row r="4609" spans="1:26" customHeight="1" ht="18" hidden="true" outlineLevel="3">
      <c r="A4609" s="2" t="s">
        <v>8675</v>
      </c>
      <c r="B4609" s="3" t="s">
        <v>8676</v>
      </c>
      <c r="C4609" s="2"/>
      <c r="D4609" s="2" t="s">
        <v>16</v>
      </c>
      <c r="E4609" s="4">
        <f>122.20*(1-Z1%)</f>
        <v>122.2</v>
      </c>
      <c r="F4609" s="2">
        <v>3</v>
      </c>
      <c r="G4609" s="2"/>
    </row>
    <row r="4610" spans="1:26" customHeight="1" ht="36" hidden="true" outlineLevel="3">
      <c r="A4610" s="2" t="s">
        <v>8677</v>
      </c>
      <c r="B4610" s="3" t="s">
        <v>8678</v>
      </c>
      <c r="C4610" s="2"/>
      <c r="D4610" s="2" t="s">
        <v>16</v>
      </c>
      <c r="E4610" s="4">
        <f>64.98*(1-Z1%)</f>
        <v>64.98</v>
      </c>
      <c r="F4610" s="2">
        <v>12</v>
      </c>
      <c r="G4610" s="2"/>
    </row>
    <row r="4611" spans="1:26" customHeight="1" ht="36" hidden="true" outlineLevel="3">
      <c r="A4611" s="2" t="s">
        <v>8679</v>
      </c>
      <c r="B4611" s="3" t="s">
        <v>8680</v>
      </c>
      <c r="C4611" s="2"/>
      <c r="D4611" s="2" t="s">
        <v>16</v>
      </c>
      <c r="E4611" s="4">
        <f>48.74*(1-Z1%)</f>
        <v>48.74</v>
      </c>
      <c r="F4611" s="2">
        <v>14</v>
      </c>
      <c r="G4611" s="2"/>
    </row>
    <row r="4612" spans="1:26" customHeight="1" ht="36" hidden="true" outlineLevel="3">
      <c r="A4612" s="2" t="s">
        <v>8681</v>
      </c>
      <c r="B4612" s="3" t="s">
        <v>8682</v>
      </c>
      <c r="C4612" s="2"/>
      <c r="D4612" s="2" t="s">
        <v>16</v>
      </c>
      <c r="E4612" s="4">
        <f>50.29*(1-Z1%)</f>
        <v>50.29</v>
      </c>
      <c r="F4612" s="2">
        <v>11</v>
      </c>
      <c r="G4612" s="2"/>
    </row>
    <row r="4613" spans="1:26" customHeight="1" ht="18" hidden="true" outlineLevel="3">
      <c r="A4613" s="2" t="s">
        <v>8683</v>
      </c>
      <c r="B4613" s="3" t="s">
        <v>8684</v>
      </c>
      <c r="C4613" s="2"/>
      <c r="D4613" s="2" t="s">
        <v>16</v>
      </c>
      <c r="E4613" s="4">
        <f>49.46*(1-Z1%)</f>
        <v>49.46</v>
      </c>
      <c r="F4613" s="2">
        <v>16</v>
      </c>
      <c r="G4613" s="2"/>
    </row>
    <row r="4614" spans="1:26" customHeight="1" ht="36" hidden="true" outlineLevel="3">
      <c r="A4614" s="2" t="s">
        <v>8685</v>
      </c>
      <c r="B4614" s="3" t="s">
        <v>8686</v>
      </c>
      <c r="C4614" s="2"/>
      <c r="D4614" s="2" t="s">
        <v>16</v>
      </c>
      <c r="E4614" s="4">
        <f>18.05*(1-Z1%)</f>
        <v>18.05</v>
      </c>
      <c r="F4614" s="2">
        <v>18</v>
      </c>
      <c r="G4614" s="2"/>
    </row>
    <row r="4615" spans="1:26" customHeight="1" ht="18" hidden="true" outlineLevel="3">
      <c r="A4615" s="2" t="s">
        <v>8687</v>
      </c>
      <c r="B4615" s="3" t="s">
        <v>8688</v>
      </c>
      <c r="C4615" s="2"/>
      <c r="D4615" s="2" t="s">
        <v>16</v>
      </c>
      <c r="E4615" s="4">
        <f>36.83*(1-Z1%)</f>
        <v>36.83</v>
      </c>
      <c r="F4615" s="2">
        <v>7</v>
      </c>
      <c r="G4615" s="2"/>
    </row>
    <row r="4616" spans="1:26" customHeight="1" ht="18" hidden="true" outlineLevel="3">
      <c r="A4616" s="2" t="s">
        <v>8689</v>
      </c>
      <c r="B4616" s="3" t="s">
        <v>8690</v>
      </c>
      <c r="C4616" s="2"/>
      <c r="D4616" s="2" t="s">
        <v>16</v>
      </c>
      <c r="E4616" s="4">
        <f>37.31*(1-Z1%)</f>
        <v>37.31</v>
      </c>
      <c r="F4616" s="2">
        <v>3</v>
      </c>
      <c r="G4616" s="2"/>
    </row>
    <row r="4617" spans="1:26" customHeight="1" ht="18" hidden="true" outlineLevel="3">
      <c r="A4617" s="2" t="s">
        <v>8691</v>
      </c>
      <c r="B4617" s="3" t="s">
        <v>8692</v>
      </c>
      <c r="C4617" s="2"/>
      <c r="D4617" s="2" t="s">
        <v>16</v>
      </c>
      <c r="E4617" s="4">
        <f>36.23*(1-Z1%)</f>
        <v>36.23</v>
      </c>
      <c r="F4617" s="2">
        <v>19</v>
      </c>
      <c r="G4617" s="2"/>
    </row>
    <row r="4618" spans="1:26" customHeight="1" ht="18" hidden="true" outlineLevel="3">
      <c r="A4618" s="2" t="s">
        <v>8693</v>
      </c>
      <c r="B4618" s="3" t="s">
        <v>8694</v>
      </c>
      <c r="C4618" s="2"/>
      <c r="D4618" s="2" t="s">
        <v>16</v>
      </c>
      <c r="E4618" s="4">
        <f>74.71*(1-Z1%)</f>
        <v>74.71</v>
      </c>
      <c r="F4618" s="2">
        <v>7</v>
      </c>
      <c r="G4618" s="2"/>
    </row>
    <row r="4619" spans="1:26" customHeight="1" ht="18" hidden="true" outlineLevel="3">
      <c r="A4619" s="2" t="s">
        <v>8695</v>
      </c>
      <c r="B4619" s="3" t="s">
        <v>8696</v>
      </c>
      <c r="C4619" s="2"/>
      <c r="D4619" s="2" t="s">
        <v>16</v>
      </c>
      <c r="E4619" s="4">
        <f>61.90*(1-Z1%)</f>
        <v>61.9</v>
      </c>
      <c r="F4619" s="2">
        <v>3</v>
      </c>
      <c r="G4619" s="2"/>
    </row>
    <row r="4620" spans="1:26" customHeight="1" ht="18" hidden="true" outlineLevel="3">
      <c r="A4620" s="2" t="s">
        <v>8697</v>
      </c>
      <c r="B4620" s="3" t="s">
        <v>8696</v>
      </c>
      <c r="C4620" s="2"/>
      <c r="D4620" s="2" t="s">
        <v>16</v>
      </c>
      <c r="E4620" s="4">
        <f>52.20*(1-Z1%)</f>
        <v>52.2</v>
      </c>
      <c r="F4620" s="2">
        <v>11</v>
      </c>
      <c r="G4620" s="2"/>
    </row>
    <row r="4621" spans="1:26" customHeight="1" ht="36" hidden="true" outlineLevel="3">
      <c r="A4621" s="2" t="s">
        <v>8698</v>
      </c>
      <c r="B4621" s="3" t="s">
        <v>8699</v>
      </c>
      <c r="C4621" s="2"/>
      <c r="D4621" s="2" t="s">
        <v>16</v>
      </c>
      <c r="E4621" s="4">
        <f>246.69*(1-Z1%)</f>
        <v>246.69</v>
      </c>
      <c r="F4621" s="2">
        <v>6</v>
      </c>
      <c r="G4621" s="2"/>
    </row>
    <row r="4622" spans="1:26" customHeight="1" ht="18" hidden="true" outlineLevel="3">
      <c r="A4622" s="2" t="s">
        <v>8700</v>
      </c>
      <c r="B4622" s="3" t="s">
        <v>8701</v>
      </c>
      <c r="C4622" s="2"/>
      <c r="D4622" s="2" t="s">
        <v>16</v>
      </c>
      <c r="E4622" s="4">
        <f>200.07*(1-Z1%)</f>
        <v>200.07</v>
      </c>
      <c r="F4622" s="2">
        <v>4</v>
      </c>
      <c r="G4622" s="2"/>
    </row>
    <row r="4623" spans="1:26" customHeight="1" ht="18" hidden="true" outlineLevel="3">
      <c r="A4623" s="2" t="s">
        <v>8702</v>
      </c>
      <c r="B4623" s="3" t="s">
        <v>8703</v>
      </c>
      <c r="C4623" s="2"/>
      <c r="D4623" s="2" t="s">
        <v>16</v>
      </c>
      <c r="E4623" s="4">
        <f>235.98*(1-Z1%)</f>
        <v>235.98</v>
      </c>
      <c r="F4623" s="2">
        <v>14</v>
      </c>
      <c r="G4623" s="2"/>
    </row>
    <row r="4624" spans="1:26" customHeight="1" ht="18" hidden="true" outlineLevel="3">
      <c r="A4624" s="2" t="s">
        <v>8704</v>
      </c>
      <c r="B4624" s="3" t="s">
        <v>8705</v>
      </c>
      <c r="C4624" s="2"/>
      <c r="D4624" s="2" t="s">
        <v>16</v>
      </c>
      <c r="E4624" s="4">
        <f>232.78*(1-Z1%)</f>
        <v>232.78</v>
      </c>
      <c r="F4624" s="2">
        <v>2</v>
      </c>
      <c r="G4624" s="2"/>
    </row>
    <row r="4625" spans="1:26" customHeight="1" ht="18" hidden="true" outlineLevel="3">
      <c r="A4625" s="2" t="s">
        <v>8706</v>
      </c>
      <c r="B4625" s="3" t="s">
        <v>8707</v>
      </c>
      <c r="C4625" s="2"/>
      <c r="D4625" s="2" t="s">
        <v>16</v>
      </c>
      <c r="E4625" s="4">
        <f>199.87*(1-Z1%)</f>
        <v>199.87</v>
      </c>
      <c r="F4625" s="2">
        <v>2</v>
      </c>
      <c r="G4625" s="2"/>
    </row>
    <row r="4626" spans="1:26" customHeight="1" ht="18" hidden="true" outlineLevel="3">
      <c r="A4626" s="2" t="s">
        <v>8708</v>
      </c>
      <c r="B4626" s="3" t="s">
        <v>8709</v>
      </c>
      <c r="C4626" s="2"/>
      <c r="D4626" s="2" t="s">
        <v>16</v>
      </c>
      <c r="E4626" s="4">
        <f>108.66*(1-Z1%)</f>
        <v>108.66</v>
      </c>
      <c r="F4626" s="2">
        <v>5</v>
      </c>
      <c r="G4626" s="2"/>
    </row>
    <row r="4627" spans="1:26" customHeight="1" ht="18" hidden="true" outlineLevel="3">
      <c r="A4627" s="2" t="s">
        <v>8710</v>
      </c>
      <c r="B4627" s="3" t="s">
        <v>8711</v>
      </c>
      <c r="C4627" s="2"/>
      <c r="D4627" s="2" t="s">
        <v>16</v>
      </c>
      <c r="E4627" s="4">
        <f>108.66*(1-Z1%)</f>
        <v>108.66</v>
      </c>
      <c r="F4627" s="2">
        <v>15</v>
      </c>
      <c r="G4627" s="2"/>
    </row>
    <row r="4628" spans="1:26" customHeight="1" ht="18" hidden="true" outlineLevel="3">
      <c r="A4628" s="2" t="s">
        <v>8712</v>
      </c>
      <c r="B4628" s="3" t="s">
        <v>8713</v>
      </c>
      <c r="C4628" s="2"/>
      <c r="D4628" s="2" t="s">
        <v>16</v>
      </c>
      <c r="E4628" s="4">
        <f>155.19*(1-Z1%)</f>
        <v>155.19</v>
      </c>
      <c r="F4628" s="2">
        <v>8</v>
      </c>
      <c r="G4628" s="2"/>
    </row>
    <row r="4629" spans="1:26" customHeight="1" ht="18" hidden="true" outlineLevel="3">
      <c r="A4629" s="2" t="s">
        <v>8714</v>
      </c>
      <c r="B4629" s="3" t="s">
        <v>8715</v>
      </c>
      <c r="C4629" s="2"/>
      <c r="D4629" s="2" t="s">
        <v>16</v>
      </c>
      <c r="E4629" s="4">
        <f>232.78*(1-Z1%)</f>
        <v>232.78</v>
      </c>
      <c r="F4629" s="2">
        <v>8</v>
      </c>
      <c r="G4629" s="2"/>
    </row>
    <row r="4630" spans="1:26" customHeight="1" ht="18" hidden="true" outlineLevel="3">
      <c r="A4630" s="2" t="s">
        <v>8716</v>
      </c>
      <c r="B4630" s="3" t="s">
        <v>8717</v>
      </c>
      <c r="C4630" s="2"/>
      <c r="D4630" s="2" t="s">
        <v>16</v>
      </c>
      <c r="E4630" s="4">
        <f>97.47*(1-Z1%)</f>
        <v>97.47</v>
      </c>
      <c r="F4630" s="2">
        <v>12</v>
      </c>
      <c r="G4630" s="2"/>
    </row>
    <row r="4631" spans="1:26" customHeight="1" ht="18" hidden="true" outlineLevel="3">
      <c r="A4631" s="2" t="s">
        <v>8718</v>
      </c>
      <c r="B4631" s="3" t="s">
        <v>8719</v>
      </c>
      <c r="C4631" s="2"/>
      <c r="D4631" s="2" t="s">
        <v>16</v>
      </c>
      <c r="E4631" s="4">
        <f>182.82*(1-Z1%)</f>
        <v>182.82</v>
      </c>
      <c r="F4631" s="2">
        <v>5</v>
      </c>
      <c r="G4631" s="2"/>
    </row>
    <row r="4632" spans="1:26" customHeight="1" ht="18" hidden="true" outlineLevel="3">
      <c r="A4632" s="2" t="s">
        <v>8720</v>
      </c>
      <c r="B4632" s="3" t="s">
        <v>8721</v>
      </c>
      <c r="C4632" s="2"/>
      <c r="D4632" s="2" t="s">
        <v>16</v>
      </c>
      <c r="E4632" s="4">
        <f>83.79*(1-Z1%)</f>
        <v>83.79</v>
      </c>
      <c r="F4632" s="2">
        <v>10</v>
      </c>
      <c r="G4632" s="2"/>
    </row>
    <row r="4633" spans="1:26" customHeight="1" ht="36" hidden="true" outlineLevel="3">
      <c r="A4633" s="2" t="s">
        <v>8722</v>
      </c>
      <c r="B4633" s="3" t="s">
        <v>8723</v>
      </c>
      <c r="C4633" s="2"/>
      <c r="D4633" s="2" t="s">
        <v>16</v>
      </c>
      <c r="E4633" s="4">
        <f>58.12*(1-Z1%)</f>
        <v>58.12</v>
      </c>
      <c r="F4633" s="2">
        <v>19</v>
      </c>
      <c r="G4633" s="2"/>
    </row>
    <row r="4634" spans="1:26" customHeight="1" ht="36" hidden="true" outlineLevel="3">
      <c r="A4634" s="2" t="s">
        <v>8724</v>
      </c>
      <c r="B4634" s="3" t="s">
        <v>8725</v>
      </c>
      <c r="C4634" s="2"/>
      <c r="D4634" s="2" t="s">
        <v>16</v>
      </c>
      <c r="E4634" s="4">
        <f>64.74*(1-Z1%)</f>
        <v>64.74</v>
      </c>
      <c r="F4634" s="2">
        <v>9</v>
      </c>
      <c r="G4634" s="2"/>
    </row>
    <row r="4635" spans="1:26" customHeight="1" ht="18" hidden="true" outlineLevel="3">
      <c r="A4635" s="2" t="s">
        <v>8726</v>
      </c>
      <c r="B4635" s="3" t="s">
        <v>8727</v>
      </c>
      <c r="C4635" s="2"/>
      <c r="D4635" s="2" t="s">
        <v>16</v>
      </c>
      <c r="E4635" s="4">
        <f>352.94*(1-Z1%)</f>
        <v>352.94</v>
      </c>
      <c r="F4635" s="2">
        <v>5</v>
      </c>
      <c r="G4635" s="2"/>
    </row>
    <row r="4636" spans="1:26" customHeight="1" ht="18" hidden="true" outlineLevel="3">
      <c r="A4636" s="2" t="s">
        <v>8728</v>
      </c>
      <c r="B4636" s="3" t="s">
        <v>8729</v>
      </c>
      <c r="C4636" s="2"/>
      <c r="D4636" s="2" t="s">
        <v>16</v>
      </c>
      <c r="E4636" s="4">
        <f>38.92*(1-Z1%)</f>
        <v>38.92</v>
      </c>
      <c r="F4636" s="2">
        <v>8</v>
      </c>
      <c r="G4636" s="2"/>
    </row>
    <row r="4637" spans="1:26" customHeight="1" ht="18" hidden="true" outlineLevel="3">
      <c r="A4637" s="2" t="s">
        <v>8730</v>
      </c>
      <c r="B4637" s="3" t="s">
        <v>8731</v>
      </c>
      <c r="C4637" s="2"/>
      <c r="D4637" s="2" t="s">
        <v>16</v>
      </c>
      <c r="E4637" s="4">
        <f>78.59*(1-Z1%)</f>
        <v>78.59</v>
      </c>
      <c r="F4637" s="2">
        <v>21</v>
      </c>
      <c r="G4637" s="2"/>
    </row>
    <row r="4638" spans="1:26" customHeight="1" ht="18" hidden="true" outlineLevel="3">
      <c r="A4638" s="2" t="s">
        <v>8732</v>
      </c>
      <c r="B4638" s="3" t="s">
        <v>8733</v>
      </c>
      <c r="C4638" s="2"/>
      <c r="D4638" s="2" t="s">
        <v>16</v>
      </c>
      <c r="E4638" s="4">
        <f>113.01*(1-Z1%)</f>
        <v>113.01</v>
      </c>
      <c r="F4638" s="2">
        <v>1</v>
      </c>
      <c r="G4638" s="2"/>
    </row>
    <row r="4639" spans="1:26" customHeight="1" ht="18" hidden="true" outlineLevel="3">
      <c r="A4639" s="2" t="s">
        <v>8734</v>
      </c>
      <c r="B4639" s="3" t="s">
        <v>8735</v>
      </c>
      <c r="C4639" s="2"/>
      <c r="D4639" s="2" t="s">
        <v>16</v>
      </c>
      <c r="E4639" s="4">
        <f>215.28*(1-Z1%)</f>
        <v>215.28</v>
      </c>
      <c r="F4639" s="2">
        <v>6</v>
      </c>
      <c r="G4639" s="2"/>
    </row>
    <row r="4640" spans="1:26" customHeight="1" ht="35" hidden="true" outlineLevel="2">
      <c r="A4640" s="5" t="s">
        <v>8736</v>
      </c>
      <c r="B4640" s="5"/>
      <c r="C4640" s="5"/>
      <c r="D4640" s="5"/>
      <c r="E4640" s="5"/>
      <c r="F4640" s="5"/>
      <c r="G4640" s="5"/>
    </row>
    <row r="4641" spans="1:26" customHeight="1" ht="35" hidden="true" outlineLevel="3">
      <c r="A4641" s="5" t="s">
        <v>8737</v>
      </c>
      <c r="B4641" s="5"/>
      <c r="C4641" s="5"/>
      <c r="D4641" s="5"/>
      <c r="E4641" s="5"/>
      <c r="F4641" s="5"/>
      <c r="G4641" s="5"/>
    </row>
    <row r="4642" spans="1:26" customHeight="1" ht="18" hidden="true" outlineLevel="3">
      <c r="A4642" s="2" t="s">
        <v>8738</v>
      </c>
      <c r="B4642" s="3" t="s">
        <v>8739</v>
      </c>
      <c r="C4642" s="2"/>
      <c r="D4642" s="2" t="s">
        <v>16</v>
      </c>
      <c r="E4642" s="4">
        <f>28.80*(1-Z1%)</f>
        <v>28.8</v>
      </c>
      <c r="F4642" s="2">
        <v>41</v>
      </c>
      <c r="G4642" s="2"/>
    </row>
    <row r="4643" spans="1:26" customHeight="1" ht="35" hidden="true" outlineLevel="3">
      <c r="A4643" s="5" t="s">
        <v>8740</v>
      </c>
      <c r="B4643" s="5"/>
      <c r="C4643" s="5"/>
      <c r="D4643" s="5"/>
      <c r="E4643" s="5"/>
      <c r="F4643" s="5"/>
      <c r="G4643" s="5"/>
    </row>
    <row r="4644" spans="1:26" customHeight="1" ht="36" hidden="true" outlineLevel="3">
      <c r="A4644" s="2" t="s">
        <v>8741</v>
      </c>
      <c r="B4644" s="3" t="s">
        <v>8742</v>
      </c>
      <c r="C4644" s="2"/>
      <c r="D4644" s="2" t="s">
        <v>16</v>
      </c>
      <c r="E4644" s="4">
        <f>76.78*(1-Z1%)</f>
        <v>76.78</v>
      </c>
      <c r="F4644" s="2">
        <v>13</v>
      </c>
      <c r="G4644" s="2"/>
    </row>
    <row r="4645" spans="1:26" customHeight="1" ht="36" hidden="true" outlineLevel="3">
      <c r="A4645" s="2" t="s">
        <v>8743</v>
      </c>
      <c r="B4645" s="3" t="s">
        <v>8744</v>
      </c>
      <c r="C4645" s="2"/>
      <c r="D4645" s="2" t="s">
        <v>16</v>
      </c>
      <c r="E4645" s="4">
        <f>53.87*(1-Z1%)</f>
        <v>53.87</v>
      </c>
      <c r="F4645" s="2">
        <v>6</v>
      </c>
      <c r="G4645" s="2"/>
    </row>
    <row r="4646" spans="1:26" customHeight="1" ht="36" hidden="true" outlineLevel="3">
      <c r="A4646" s="2" t="s">
        <v>8745</v>
      </c>
      <c r="B4646" s="3" t="s">
        <v>8746</v>
      </c>
      <c r="C4646" s="2"/>
      <c r="D4646" s="2" t="s">
        <v>16</v>
      </c>
      <c r="E4646" s="4">
        <f>36.44*(1-Z1%)</f>
        <v>36.44</v>
      </c>
      <c r="F4646" s="2">
        <v>14</v>
      </c>
      <c r="G4646" s="2"/>
    </row>
    <row r="4647" spans="1:26" customHeight="1" ht="36" hidden="true" outlineLevel="3">
      <c r="A4647" s="2" t="s">
        <v>8747</v>
      </c>
      <c r="B4647" s="3" t="s">
        <v>8748</v>
      </c>
      <c r="C4647" s="2"/>
      <c r="D4647" s="2" t="s">
        <v>16</v>
      </c>
      <c r="E4647" s="4">
        <f>88.96*(1-Z1%)</f>
        <v>88.96</v>
      </c>
      <c r="F4647" s="2">
        <v>20</v>
      </c>
      <c r="G4647" s="2"/>
    </row>
    <row r="4648" spans="1:26" customHeight="1" ht="36" hidden="true" outlineLevel="3">
      <c r="A4648" s="2" t="s">
        <v>8749</v>
      </c>
      <c r="B4648" s="3" t="s">
        <v>8750</v>
      </c>
      <c r="C4648" s="2"/>
      <c r="D4648" s="2" t="s">
        <v>16</v>
      </c>
      <c r="E4648" s="4">
        <f>94.15*(1-Z1%)</f>
        <v>94.15</v>
      </c>
      <c r="F4648" s="2">
        <v>10</v>
      </c>
      <c r="G4648" s="2"/>
    </row>
    <row r="4649" spans="1:26" customHeight="1" ht="36" hidden="true" outlineLevel="3">
      <c r="A4649" s="2" t="s">
        <v>8751</v>
      </c>
      <c r="B4649" s="3" t="s">
        <v>8752</v>
      </c>
      <c r="C4649" s="2"/>
      <c r="D4649" s="2" t="s">
        <v>16</v>
      </c>
      <c r="E4649" s="4">
        <f>74.30*(1-Z1%)</f>
        <v>74.3</v>
      </c>
      <c r="F4649" s="2">
        <v>19</v>
      </c>
      <c r="G4649" s="2"/>
    </row>
    <row r="4650" spans="1:26" customHeight="1" ht="36" hidden="true" outlineLevel="3">
      <c r="A4650" s="2" t="s">
        <v>8753</v>
      </c>
      <c r="B4650" s="3" t="s">
        <v>8754</v>
      </c>
      <c r="C4650" s="2"/>
      <c r="D4650" s="2" t="s">
        <v>16</v>
      </c>
      <c r="E4650" s="4">
        <f>120.73*(1-Z1%)</f>
        <v>120.73</v>
      </c>
      <c r="F4650" s="2">
        <v>10</v>
      </c>
      <c r="G4650" s="2"/>
    </row>
    <row r="4651" spans="1:26" customHeight="1" ht="36" hidden="true" outlineLevel="3">
      <c r="A4651" s="2" t="s">
        <v>8755</v>
      </c>
      <c r="B4651" s="3" t="s">
        <v>8756</v>
      </c>
      <c r="C4651" s="2"/>
      <c r="D4651" s="2" t="s">
        <v>16</v>
      </c>
      <c r="E4651" s="4">
        <f>177.21*(1-Z1%)</f>
        <v>177.21</v>
      </c>
      <c r="F4651" s="2">
        <v>11</v>
      </c>
      <c r="G4651" s="2"/>
    </row>
    <row r="4652" spans="1:26" customHeight="1" ht="35" hidden="true" outlineLevel="3">
      <c r="A4652" s="5" t="s">
        <v>8757</v>
      </c>
      <c r="B4652" s="5"/>
      <c r="C4652" s="5"/>
      <c r="D4652" s="5"/>
      <c r="E4652" s="5"/>
      <c r="F4652" s="5"/>
      <c r="G4652" s="5"/>
    </row>
    <row r="4653" spans="1:26" customHeight="1" ht="18" hidden="true" outlineLevel="3">
      <c r="A4653" s="2" t="s">
        <v>8758</v>
      </c>
      <c r="B4653" s="3" t="s">
        <v>8759</v>
      </c>
      <c r="C4653" s="2"/>
      <c r="D4653" s="2" t="s">
        <v>16</v>
      </c>
      <c r="E4653" s="4">
        <f>12.83*(1-Z1%)</f>
        <v>12.83</v>
      </c>
      <c r="F4653" s="2">
        <v>9</v>
      </c>
      <c r="G4653" s="2"/>
    </row>
    <row r="4654" spans="1:26" customHeight="1" ht="36" hidden="true" outlineLevel="3">
      <c r="A4654" s="2" t="s">
        <v>8760</v>
      </c>
      <c r="B4654" s="3" t="s">
        <v>8761</v>
      </c>
      <c r="C4654" s="2"/>
      <c r="D4654" s="2" t="s">
        <v>16</v>
      </c>
      <c r="E4654" s="4">
        <f>41.45*(1-Z1%)</f>
        <v>41.45</v>
      </c>
      <c r="F4654" s="2">
        <v>4</v>
      </c>
      <c r="G4654" s="2"/>
    </row>
    <row r="4655" spans="1:26" customHeight="1" ht="18" hidden="true" outlineLevel="3">
      <c r="A4655" s="2" t="s">
        <v>8762</v>
      </c>
      <c r="B4655" s="3" t="s">
        <v>8763</v>
      </c>
      <c r="C4655" s="2"/>
      <c r="D4655" s="2" t="s">
        <v>16</v>
      </c>
      <c r="E4655" s="4">
        <f>26.54*(1-Z1%)</f>
        <v>26.54</v>
      </c>
      <c r="F4655" s="2">
        <v>2</v>
      </c>
      <c r="G4655" s="2"/>
    </row>
    <row r="4656" spans="1:26" customHeight="1" ht="36" hidden="true" outlineLevel="3">
      <c r="A4656" s="2" t="s">
        <v>8764</v>
      </c>
      <c r="B4656" s="3" t="s">
        <v>8765</v>
      </c>
      <c r="C4656" s="2"/>
      <c r="D4656" s="2" t="s">
        <v>16</v>
      </c>
      <c r="E4656" s="4">
        <f>49.55*(1-Z1%)</f>
        <v>49.55</v>
      </c>
      <c r="F4656" s="2">
        <v>7</v>
      </c>
      <c r="G4656" s="2"/>
    </row>
    <row r="4657" spans="1:26" customHeight="1" ht="36" hidden="true" outlineLevel="3">
      <c r="A4657" s="2" t="s">
        <v>8766</v>
      </c>
      <c r="B4657" s="3" t="s">
        <v>8767</v>
      </c>
      <c r="C4657" s="2"/>
      <c r="D4657" s="2" t="s">
        <v>16</v>
      </c>
      <c r="E4657" s="4">
        <f>219.71*(1-Z1%)</f>
        <v>219.71</v>
      </c>
      <c r="F4657" s="2">
        <v>1</v>
      </c>
      <c r="G4657" s="2"/>
    </row>
    <row r="4658" spans="1:26" customHeight="1" ht="35" hidden="true" outlineLevel="3">
      <c r="A4658" s="5" t="s">
        <v>8768</v>
      </c>
      <c r="B4658" s="5"/>
      <c r="C4658" s="5"/>
      <c r="D4658" s="5"/>
      <c r="E4658" s="5"/>
      <c r="F4658" s="5"/>
      <c r="G4658" s="5"/>
    </row>
    <row r="4659" spans="1:26" customHeight="1" ht="18" hidden="true" outlineLevel="3">
      <c r="A4659" s="2" t="s">
        <v>8769</v>
      </c>
      <c r="B4659" s="3" t="s">
        <v>8770</v>
      </c>
      <c r="C4659" s="2"/>
      <c r="D4659" s="2" t="s">
        <v>16</v>
      </c>
      <c r="E4659" s="4">
        <f>32.20*(1-Z1%)</f>
        <v>32.2</v>
      </c>
      <c r="F4659" s="2">
        <v>44</v>
      </c>
      <c r="G4659" s="2"/>
    </row>
    <row r="4660" spans="1:26" customHeight="1" ht="36" hidden="true" outlineLevel="3">
      <c r="A4660" s="2" t="s">
        <v>8771</v>
      </c>
      <c r="B4660" s="3" t="s">
        <v>8772</v>
      </c>
      <c r="C4660" s="2"/>
      <c r="D4660" s="2" t="s">
        <v>16</v>
      </c>
      <c r="E4660" s="4">
        <f>37.13*(1-Z1%)</f>
        <v>37.13</v>
      </c>
      <c r="F4660" s="2">
        <v>1</v>
      </c>
      <c r="G4660" s="2"/>
    </row>
    <row r="4661" spans="1:26" customHeight="1" ht="36" hidden="true" outlineLevel="3">
      <c r="A4661" s="2" t="s">
        <v>8773</v>
      </c>
      <c r="B4661" s="3" t="s">
        <v>8774</v>
      </c>
      <c r="C4661" s="2"/>
      <c r="D4661" s="2" t="s">
        <v>16</v>
      </c>
      <c r="E4661" s="4">
        <f>80.44*(1-Z1%)</f>
        <v>80.44</v>
      </c>
      <c r="F4661" s="2">
        <v>1</v>
      </c>
      <c r="G4661" s="2"/>
    </row>
    <row r="4662" spans="1:26" customHeight="1" ht="35" hidden="true" outlineLevel="3">
      <c r="A4662" s="5" t="s">
        <v>8775</v>
      </c>
      <c r="B4662" s="5"/>
      <c r="C4662" s="5"/>
      <c r="D4662" s="5"/>
      <c r="E4662" s="5"/>
      <c r="F4662" s="5"/>
      <c r="G4662" s="5"/>
    </row>
    <row r="4663" spans="1:26" customHeight="1" ht="18" hidden="true" outlineLevel="3">
      <c r="A4663" s="2" t="s">
        <v>8776</v>
      </c>
      <c r="B4663" s="3" t="s">
        <v>8777</v>
      </c>
      <c r="C4663" s="2"/>
      <c r="D4663" s="2" t="s">
        <v>16</v>
      </c>
      <c r="E4663" s="4">
        <f>50.94*(1-Z1%)</f>
        <v>50.94</v>
      </c>
      <c r="F4663" s="2">
        <v>1</v>
      </c>
      <c r="G4663" s="2"/>
    </row>
    <row r="4664" spans="1:26" customHeight="1" ht="18" hidden="true" outlineLevel="3">
      <c r="A4664" s="2" t="s">
        <v>8778</v>
      </c>
      <c r="B4664" s="3" t="s">
        <v>8779</v>
      </c>
      <c r="C4664" s="2"/>
      <c r="D4664" s="2" t="s">
        <v>16</v>
      </c>
      <c r="E4664" s="4">
        <f>103.83*(1-Z1%)</f>
        <v>103.83</v>
      </c>
      <c r="F4664" s="2">
        <v>16</v>
      </c>
      <c r="G4664" s="2"/>
    </row>
    <row r="4665" spans="1:26" customHeight="1" ht="18" hidden="true" outlineLevel="3">
      <c r="A4665" s="2" t="s">
        <v>8780</v>
      </c>
      <c r="B4665" s="3" t="s">
        <v>8781</v>
      </c>
      <c r="C4665" s="2"/>
      <c r="D4665" s="2" t="s">
        <v>16</v>
      </c>
      <c r="E4665" s="4">
        <f>108.16*(1-Z1%)</f>
        <v>108.16</v>
      </c>
      <c r="F4665" s="2">
        <v>7</v>
      </c>
      <c r="G4665" s="2"/>
    </row>
    <row r="4666" spans="1:26" customHeight="1" ht="18" hidden="true" outlineLevel="3">
      <c r="A4666" s="2" t="s">
        <v>8782</v>
      </c>
      <c r="B4666" s="3" t="s">
        <v>8783</v>
      </c>
      <c r="C4666" s="2"/>
      <c r="D4666" s="2" t="s">
        <v>16</v>
      </c>
      <c r="E4666" s="4">
        <f>43.61*(1-Z1%)</f>
        <v>43.61</v>
      </c>
      <c r="F4666" s="2">
        <v>78</v>
      </c>
      <c r="G4666" s="2"/>
    </row>
    <row r="4667" spans="1:26" customHeight="1" ht="18" hidden="true" outlineLevel="3">
      <c r="A4667" s="2" t="s">
        <v>8784</v>
      </c>
      <c r="B4667" s="3" t="s">
        <v>8785</v>
      </c>
      <c r="C4667" s="2"/>
      <c r="D4667" s="2" t="s">
        <v>16</v>
      </c>
      <c r="E4667" s="4">
        <f>41.04*(1-Z1%)</f>
        <v>41.04</v>
      </c>
      <c r="F4667" s="2">
        <v>15</v>
      </c>
      <c r="G4667" s="2"/>
    </row>
    <row r="4668" spans="1:26" customHeight="1" ht="35" hidden="true" outlineLevel="3">
      <c r="A4668" s="5" t="s">
        <v>8786</v>
      </c>
      <c r="B4668" s="5"/>
      <c r="C4668" s="5"/>
      <c r="D4668" s="5"/>
      <c r="E4668" s="5"/>
      <c r="F4668" s="5"/>
      <c r="G4668" s="5"/>
    </row>
    <row r="4669" spans="1:26" customHeight="1" ht="18" hidden="true" outlineLevel="3">
      <c r="A4669" s="2" t="s">
        <v>8787</v>
      </c>
      <c r="B4669" s="3" t="s">
        <v>8788</v>
      </c>
      <c r="C4669" s="2"/>
      <c r="D4669" s="2" t="s">
        <v>16</v>
      </c>
      <c r="E4669" s="4">
        <f>39.76*(1-Z1%)</f>
        <v>39.76</v>
      </c>
      <c r="F4669" s="2">
        <v>9</v>
      </c>
      <c r="G4669" s="2"/>
    </row>
    <row r="4670" spans="1:26" customHeight="1" ht="18" hidden="true" outlineLevel="3">
      <c r="A4670" s="2" t="s">
        <v>8789</v>
      </c>
      <c r="B4670" s="3" t="s">
        <v>8790</v>
      </c>
      <c r="C4670" s="2"/>
      <c r="D4670" s="2" t="s">
        <v>16</v>
      </c>
      <c r="E4670" s="4">
        <f>101.48*(1-Z1%)</f>
        <v>101.48</v>
      </c>
      <c r="F4670" s="2">
        <v>1</v>
      </c>
      <c r="G4670" s="2"/>
    </row>
    <row r="4671" spans="1:26" customHeight="1" ht="18" hidden="true" outlineLevel="3">
      <c r="A4671" s="2" t="s">
        <v>8791</v>
      </c>
      <c r="B4671" s="3" t="s">
        <v>8792</v>
      </c>
      <c r="C4671" s="2"/>
      <c r="D4671" s="2" t="s">
        <v>16</v>
      </c>
      <c r="E4671" s="4">
        <f>121.55*(1-Z1%)</f>
        <v>121.55</v>
      </c>
      <c r="F4671" s="2">
        <v>11</v>
      </c>
      <c r="G4671" s="2"/>
    </row>
    <row r="4672" spans="1:26" customHeight="1" ht="18" hidden="true" outlineLevel="3">
      <c r="A4672" s="2" t="s">
        <v>8793</v>
      </c>
      <c r="B4672" s="3" t="s">
        <v>8794</v>
      </c>
      <c r="C4672" s="2"/>
      <c r="D4672" s="2" t="s">
        <v>16</v>
      </c>
      <c r="E4672" s="4">
        <f>145.78*(1-Z1%)</f>
        <v>145.78</v>
      </c>
      <c r="F4672" s="2">
        <v>12</v>
      </c>
      <c r="G4672" s="2"/>
    </row>
    <row r="4673" spans="1:26" customHeight="1" ht="18" hidden="true" outlineLevel="3">
      <c r="A4673" s="2" t="s">
        <v>8795</v>
      </c>
      <c r="B4673" s="3" t="s">
        <v>8796</v>
      </c>
      <c r="C4673" s="2"/>
      <c r="D4673" s="2" t="s">
        <v>16</v>
      </c>
      <c r="E4673" s="4">
        <f>96.39*(1-Z1%)</f>
        <v>96.39</v>
      </c>
      <c r="F4673" s="2">
        <v>19</v>
      </c>
      <c r="G4673" s="2"/>
    </row>
    <row r="4674" spans="1:26" customHeight="1" ht="18" hidden="true" outlineLevel="3">
      <c r="A4674" s="2" t="s">
        <v>8797</v>
      </c>
      <c r="B4674" s="3" t="s">
        <v>8798</v>
      </c>
      <c r="C4674" s="2"/>
      <c r="D4674" s="2" t="s">
        <v>16</v>
      </c>
      <c r="E4674" s="4">
        <f>126.86*(1-Z1%)</f>
        <v>126.86</v>
      </c>
      <c r="F4674" s="2">
        <v>10</v>
      </c>
      <c r="G4674" s="2"/>
    </row>
    <row r="4675" spans="1:26" customHeight="1" ht="35" hidden="true" outlineLevel="3">
      <c r="A4675" s="5" t="s">
        <v>8799</v>
      </c>
      <c r="B4675" s="5"/>
      <c r="C4675" s="5"/>
      <c r="D4675" s="5"/>
      <c r="E4675" s="5"/>
      <c r="F4675" s="5"/>
      <c r="G4675" s="5"/>
    </row>
    <row r="4676" spans="1:26" customHeight="1" ht="18" hidden="true" outlineLevel="3">
      <c r="A4676" s="2" t="s">
        <v>8800</v>
      </c>
      <c r="B4676" s="3" t="s">
        <v>8801</v>
      </c>
      <c r="C4676" s="2"/>
      <c r="D4676" s="2" t="s">
        <v>16</v>
      </c>
      <c r="E4676" s="4">
        <f>34.09*(1-Z1%)</f>
        <v>34.09</v>
      </c>
      <c r="F4676" s="2">
        <v>3</v>
      </c>
      <c r="G4676" s="2"/>
    </row>
    <row r="4677" spans="1:26" customHeight="1" ht="18" hidden="true" outlineLevel="3">
      <c r="A4677" s="2" t="s">
        <v>8802</v>
      </c>
      <c r="B4677" s="3" t="s">
        <v>8803</v>
      </c>
      <c r="C4677" s="2"/>
      <c r="D4677" s="2" t="s">
        <v>16</v>
      </c>
      <c r="E4677" s="4">
        <f>51.73*(1-Z1%)</f>
        <v>51.73</v>
      </c>
      <c r="F4677" s="2">
        <v>7</v>
      </c>
      <c r="G4677" s="2"/>
    </row>
    <row r="4678" spans="1:26" customHeight="1" ht="18" hidden="true" outlineLevel="3">
      <c r="A4678" s="2" t="s">
        <v>8804</v>
      </c>
      <c r="B4678" s="3" t="s">
        <v>8805</v>
      </c>
      <c r="C4678" s="2"/>
      <c r="D4678" s="2" t="s">
        <v>16</v>
      </c>
      <c r="E4678" s="4">
        <f>91.33*(1-Z1%)</f>
        <v>91.33</v>
      </c>
      <c r="F4678" s="2">
        <v>9</v>
      </c>
      <c r="G4678" s="2"/>
    </row>
    <row r="4679" spans="1:26" customHeight="1" ht="18" hidden="true" outlineLevel="3">
      <c r="A4679" s="2" t="s">
        <v>8806</v>
      </c>
      <c r="B4679" s="3" t="s">
        <v>8807</v>
      </c>
      <c r="C4679" s="2"/>
      <c r="D4679" s="2" t="s">
        <v>16</v>
      </c>
      <c r="E4679" s="4">
        <f>189.34*(1-Z1%)</f>
        <v>189.34</v>
      </c>
      <c r="F4679" s="2">
        <v>4</v>
      </c>
      <c r="G4679" s="2"/>
    </row>
    <row r="4680" spans="1:26" customHeight="1" ht="18" hidden="true" outlineLevel="3">
      <c r="A4680" s="2" t="s">
        <v>8808</v>
      </c>
      <c r="B4680" s="3" t="s">
        <v>8809</v>
      </c>
      <c r="C4680" s="2"/>
      <c r="D4680" s="2" t="s">
        <v>16</v>
      </c>
      <c r="E4680" s="4">
        <f>230.43*(1-Z1%)</f>
        <v>230.43</v>
      </c>
      <c r="F4680" s="2">
        <v>22</v>
      </c>
      <c r="G4680" s="2"/>
    </row>
    <row r="4681" spans="1:26" customHeight="1" ht="18" hidden="true" outlineLevel="3">
      <c r="A4681" s="2" t="s">
        <v>8810</v>
      </c>
      <c r="B4681" s="3" t="s">
        <v>8811</v>
      </c>
      <c r="C4681" s="2"/>
      <c r="D4681" s="2" t="s">
        <v>16</v>
      </c>
      <c r="E4681" s="4">
        <f>286.86*(1-Z1%)</f>
        <v>286.86</v>
      </c>
      <c r="F4681" s="2">
        <v>17</v>
      </c>
      <c r="G4681" s="2"/>
    </row>
    <row r="4682" spans="1:26" customHeight="1" ht="18" hidden="true" outlineLevel="3">
      <c r="A4682" s="2" t="s">
        <v>8812</v>
      </c>
      <c r="B4682" s="3" t="s">
        <v>8813</v>
      </c>
      <c r="C4682" s="2"/>
      <c r="D4682" s="2" t="s">
        <v>16</v>
      </c>
      <c r="E4682" s="4">
        <f>298.85*(1-Z1%)</f>
        <v>298.85</v>
      </c>
      <c r="F4682" s="2">
        <v>3</v>
      </c>
      <c r="G4682" s="2"/>
    </row>
    <row r="4683" spans="1:26" customHeight="1" ht="18" hidden="true" outlineLevel="3">
      <c r="A4683" s="2" t="s">
        <v>8814</v>
      </c>
      <c r="B4683" s="3" t="s">
        <v>8815</v>
      </c>
      <c r="C4683" s="2"/>
      <c r="D4683" s="2" t="s">
        <v>16</v>
      </c>
      <c r="E4683" s="4">
        <f>319.77*(1-Z1%)</f>
        <v>319.77</v>
      </c>
      <c r="F4683" s="2">
        <v>4</v>
      </c>
      <c r="G4683" s="2"/>
    </row>
    <row r="4684" spans="1:26" customHeight="1" ht="18" hidden="true" outlineLevel="3">
      <c r="A4684" s="2" t="s">
        <v>8816</v>
      </c>
      <c r="B4684" s="3" t="s">
        <v>8817</v>
      </c>
      <c r="C4684" s="2"/>
      <c r="D4684" s="2" t="s">
        <v>16</v>
      </c>
      <c r="E4684" s="4">
        <f>362.25*(1-Z1%)</f>
        <v>362.25</v>
      </c>
      <c r="F4684" s="2">
        <v>7</v>
      </c>
      <c r="G4684" s="2"/>
    </row>
    <row r="4685" spans="1:26" customHeight="1" ht="18" hidden="true" outlineLevel="3">
      <c r="A4685" s="2" t="s">
        <v>8818</v>
      </c>
      <c r="B4685" s="3" t="s">
        <v>8819</v>
      </c>
      <c r="C4685" s="2"/>
      <c r="D4685" s="2" t="s">
        <v>16</v>
      </c>
      <c r="E4685" s="4">
        <f>457.32*(1-Z1%)</f>
        <v>457.32</v>
      </c>
      <c r="F4685" s="2">
        <v>9</v>
      </c>
      <c r="G4685" s="2"/>
    </row>
    <row r="4686" spans="1:26" customHeight="1" ht="36" hidden="true" outlineLevel="3">
      <c r="A4686" s="2" t="s">
        <v>8820</v>
      </c>
      <c r="B4686" s="3" t="s">
        <v>8821</v>
      </c>
      <c r="C4686" s="2"/>
      <c r="D4686" s="2" t="s">
        <v>16</v>
      </c>
      <c r="E4686" s="4">
        <f>26.23*(1-Z1%)</f>
        <v>26.23</v>
      </c>
      <c r="F4686" s="2">
        <v>19</v>
      </c>
      <c r="G4686" s="2"/>
    </row>
    <row r="4687" spans="1:26" customHeight="1" ht="36" hidden="true" outlineLevel="3">
      <c r="A4687" s="2" t="s">
        <v>8822</v>
      </c>
      <c r="B4687" s="3" t="s">
        <v>8823</v>
      </c>
      <c r="C4687" s="2"/>
      <c r="D4687" s="2" t="s">
        <v>16</v>
      </c>
      <c r="E4687" s="4">
        <f>31.07*(1-Z1%)</f>
        <v>31.07</v>
      </c>
      <c r="F4687" s="2">
        <v>28</v>
      </c>
      <c r="G4687" s="2"/>
    </row>
    <row r="4688" spans="1:26" customHeight="1" ht="36" hidden="true" outlineLevel="3">
      <c r="A4688" s="2" t="s">
        <v>8824</v>
      </c>
      <c r="B4688" s="3" t="s">
        <v>8825</v>
      </c>
      <c r="C4688" s="2"/>
      <c r="D4688" s="2" t="s">
        <v>16</v>
      </c>
      <c r="E4688" s="4">
        <f>40.87*(1-Z1%)</f>
        <v>40.87</v>
      </c>
      <c r="F4688" s="2">
        <v>28</v>
      </c>
      <c r="G4688" s="2"/>
    </row>
    <row r="4689" spans="1:26" customHeight="1" ht="36" hidden="true" outlineLevel="3">
      <c r="A4689" s="2" t="s">
        <v>8826</v>
      </c>
      <c r="B4689" s="3" t="s">
        <v>8827</v>
      </c>
      <c r="C4689" s="2"/>
      <c r="D4689" s="2" t="s">
        <v>16</v>
      </c>
      <c r="E4689" s="4">
        <f>50.80*(1-Z1%)</f>
        <v>50.8</v>
      </c>
      <c r="F4689" s="2">
        <v>22</v>
      </c>
      <c r="G4689" s="2"/>
    </row>
    <row r="4690" spans="1:26" customHeight="1" ht="36" hidden="true" outlineLevel="3">
      <c r="A4690" s="2" t="s">
        <v>8828</v>
      </c>
      <c r="B4690" s="3" t="s">
        <v>8829</v>
      </c>
      <c r="C4690" s="2"/>
      <c r="D4690" s="2" t="s">
        <v>16</v>
      </c>
      <c r="E4690" s="4">
        <f>70.41*(1-Z1%)</f>
        <v>70.41</v>
      </c>
      <c r="F4690" s="2">
        <v>25</v>
      </c>
      <c r="G4690" s="2"/>
    </row>
    <row r="4691" spans="1:26" customHeight="1" ht="36" hidden="true" outlineLevel="3">
      <c r="A4691" s="2" t="s">
        <v>8830</v>
      </c>
      <c r="B4691" s="3" t="s">
        <v>8831</v>
      </c>
      <c r="C4691" s="2"/>
      <c r="D4691" s="2" t="s">
        <v>16</v>
      </c>
      <c r="E4691" s="4">
        <f>94.50*(1-Z1%)</f>
        <v>94.5</v>
      </c>
      <c r="F4691" s="2">
        <v>17</v>
      </c>
      <c r="G4691" s="2"/>
    </row>
    <row r="4692" spans="1:26" customHeight="1" ht="36" hidden="true" outlineLevel="3">
      <c r="A4692" s="2" t="s">
        <v>8832</v>
      </c>
      <c r="B4692" s="3" t="s">
        <v>8833</v>
      </c>
      <c r="C4692" s="2"/>
      <c r="D4692" s="2" t="s">
        <v>16</v>
      </c>
      <c r="E4692" s="4">
        <f>117.66*(1-Z1%)</f>
        <v>117.66</v>
      </c>
      <c r="F4692" s="2">
        <v>13</v>
      </c>
      <c r="G4692" s="2"/>
    </row>
    <row r="4693" spans="1:26" customHeight="1" ht="36" hidden="true" outlineLevel="3">
      <c r="A4693" s="2" t="s">
        <v>8834</v>
      </c>
      <c r="B4693" s="3" t="s">
        <v>8835</v>
      </c>
      <c r="C4693" s="2"/>
      <c r="D4693" s="2" t="s">
        <v>16</v>
      </c>
      <c r="E4693" s="4">
        <f>169.52*(1-Z1%)</f>
        <v>169.52</v>
      </c>
      <c r="F4693" s="2">
        <v>14</v>
      </c>
      <c r="G4693" s="2"/>
    </row>
    <row r="4694" spans="1:26" customHeight="1" ht="36" hidden="true" outlineLevel="3">
      <c r="A4694" s="2" t="s">
        <v>8836</v>
      </c>
      <c r="B4694" s="3" t="s">
        <v>8837</v>
      </c>
      <c r="C4694" s="2"/>
      <c r="D4694" s="2" t="s">
        <v>16</v>
      </c>
      <c r="E4694" s="4">
        <f>229.81*(1-Z1%)</f>
        <v>229.81</v>
      </c>
      <c r="F4694" s="2">
        <v>9</v>
      </c>
      <c r="G4694" s="2"/>
    </row>
    <row r="4695" spans="1:26" customHeight="1" ht="36" hidden="true" outlineLevel="3">
      <c r="A4695" s="2" t="s">
        <v>8838</v>
      </c>
      <c r="B4695" s="3" t="s">
        <v>8839</v>
      </c>
      <c r="C4695" s="2"/>
      <c r="D4695" s="2" t="s">
        <v>16</v>
      </c>
      <c r="E4695" s="4">
        <f>346.13*(1-Z1%)</f>
        <v>346.13</v>
      </c>
      <c r="F4695" s="2">
        <v>15</v>
      </c>
      <c r="G4695" s="2"/>
    </row>
    <row r="4696" spans="1:26" customHeight="1" ht="35" hidden="true" outlineLevel="3">
      <c r="A4696" s="5" t="s">
        <v>8840</v>
      </c>
      <c r="B4696" s="5"/>
      <c r="C4696" s="5"/>
      <c r="D4696" s="5"/>
      <c r="E4696" s="5"/>
      <c r="F4696" s="5"/>
      <c r="G4696" s="5"/>
    </row>
    <row r="4697" spans="1:26" customHeight="1" ht="36" hidden="true" outlineLevel="3">
      <c r="A4697" s="2" t="s">
        <v>8841</v>
      </c>
      <c r="B4697" s="3" t="s">
        <v>8842</v>
      </c>
      <c r="C4697" s="2"/>
      <c r="D4697" s="2" t="s">
        <v>16</v>
      </c>
      <c r="E4697" s="4">
        <f>98.66*(1-Z1%)</f>
        <v>98.66</v>
      </c>
      <c r="F4697" s="2">
        <v>6</v>
      </c>
      <c r="G4697" s="2"/>
    </row>
    <row r="4698" spans="1:26" customHeight="1" ht="36" hidden="true" outlineLevel="3">
      <c r="A4698" s="2" t="s">
        <v>8843</v>
      </c>
      <c r="B4698" s="3" t="s">
        <v>8844</v>
      </c>
      <c r="C4698" s="2"/>
      <c r="D4698" s="2" t="s">
        <v>16</v>
      </c>
      <c r="E4698" s="4">
        <f>101.24*(1-Z1%)</f>
        <v>101.24</v>
      </c>
      <c r="F4698" s="2">
        <v>5</v>
      </c>
      <c r="G4698" s="2"/>
    </row>
    <row r="4699" spans="1:26" customHeight="1" ht="35" hidden="true" outlineLevel="3">
      <c r="A4699" s="5" t="s">
        <v>8845</v>
      </c>
      <c r="B4699" s="5"/>
      <c r="C4699" s="5"/>
      <c r="D4699" s="5"/>
      <c r="E4699" s="5"/>
      <c r="F4699" s="5"/>
      <c r="G4699" s="5"/>
    </row>
    <row r="4700" spans="1:26" customHeight="1" ht="36" hidden="true" outlineLevel="3">
      <c r="A4700" s="2" t="s">
        <v>8846</v>
      </c>
      <c r="B4700" s="3" t="s">
        <v>8847</v>
      </c>
      <c r="C4700" s="2"/>
      <c r="D4700" s="2" t="s">
        <v>16</v>
      </c>
      <c r="E4700" s="4">
        <f>31.64*(1-Z1%)</f>
        <v>31.64</v>
      </c>
      <c r="F4700" s="2">
        <v>6</v>
      </c>
      <c r="G4700" s="2"/>
    </row>
    <row r="4701" spans="1:26" customHeight="1" ht="36" hidden="true" outlineLevel="3">
      <c r="A4701" s="2" t="s">
        <v>8848</v>
      </c>
      <c r="B4701" s="3" t="s">
        <v>8849</v>
      </c>
      <c r="C4701" s="2"/>
      <c r="D4701" s="2" t="s">
        <v>16</v>
      </c>
      <c r="E4701" s="4">
        <f>31.64*(1-Z1%)</f>
        <v>31.64</v>
      </c>
      <c r="F4701" s="2">
        <v>10</v>
      </c>
      <c r="G4701" s="2"/>
    </row>
    <row r="4702" spans="1:26" customHeight="1" ht="36" hidden="true" outlineLevel="3">
      <c r="A4702" s="2" t="s">
        <v>8850</v>
      </c>
      <c r="B4702" s="3" t="s">
        <v>8851</v>
      </c>
      <c r="C4702" s="2"/>
      <c r="D4702" s="2" t="s">
        <v>16</v>
      </c>
      <c r="E4702" s="4">
        <f>33.35*(1-Z1%)</f>
        <v>33.35</v>
      </c>
      <c r="F4702" s="2">
        <v>10</v>
      </c>
      <c r="G4702" s="2"/>
    </row>
    <row r="4703" spans="1:26" customHeight="1" ht="36" hidden="true" outlineLevel="3">
      <c r="A4703" s="2" t="s">
        <v>8852</v>
      </c>
      <c r="B4703" s="3" t="s">
        <v>8853</v>
      </c>
      <c r="C4703" s="2"/>
      <c r="D4703" s="2" t="s">
        <v>16</v>
      </c>
      <c r="E4703" s="4">
        <f>33.35*(1-Z1%)</f>
        <v>33.35</v>
      </c>
      <c r="F4703" s="2">
        <v>10</v>
      </c>
      <c r="G4703" s="2"/>
    </row>
    <row r="4704" spans="1:26" customHeight="1" ht="35" hidden="true" outlineLevel="2">
      <c r="A4704" s="5" t="s">
        <v>8854</v>
      </c>
      <c r="B4704" s="5"/>
      <c r="C4704" s="5"/>
      <c r="D4704" s="5"/>
      <c r="E4704" s="5"/>
      <c r="F4704" s="5"/>
      <c r="G4704" s="5"/>
    </row>
    <row r="4705" spans="1:26" customHeight="1" ht="35" hidden="true" outlineLevel="3">
      <c r="A4705" s="5" t="s">
        <v>8855</v>
      </c>
      <c r="B4705" s="5"/>
      <c r="C4705" s="5"/>
      <c r="D4705" s="5"/>
      <c r="E4705" s="5"/>
      <c r="F4705" s="5"/>
      <c r="G4705" s="5"/>
    </row>
    <row r="4706" spans="1:26" customHeight="1" ht="18" hidden="true" outlineLevel="3">
      <c r="A4706" s="2" t="s">
        <v>8856</v>
      </c>
      <c r="B4706" s="3" t="s">
        <v>8857</v>
      </c>
      <c r="C4706" s="2"/>
      <c r="D4706" s="2" t="s">
        <v>16</v>
      </c>
      <c r="E4706" s="4">
        <f>59.68*(1-Z1%)</f>
        <v>59.68</v>
      </c>
      <c r="F4706" s="2">
        <v>11</v>
      </c>
      <c r="G4706" s="2"/>
    </row>
    <row r="4707" spans="1:26" customHeight="1" ht="18" hidden="true" outlineLevel="3">
      <c r="A4707" s="2" t="s">
        <v>8858</v>
      </c>
      <c r="B4707" s="3" t="s">
        <v>8859</v>
      </c>
      <c r="C4707" s="2"/>
      <c r="D4707" s="2" t="s">
        <v>16</v>
      </c>
      <c r="E4707" s="4">
        <f>59.68*(1-Z1%)</f>
        <v>59.68</v>
      </c>
      <c r="F4707" s="2">
        <v>16</v>
      </c>
      <c r="G4707" s="2"/>
    </row>
    <row r="4708" spans="1:26" customHeight="1" ht="18" hidden="true" outlineLevel="3">
      <c r="A4708" s="2" t="s">
        <v>8860</v>
      </c>
      <c r="B4708" s="3" t="s">
        <v>8861</v>
      </c>
      <c r="C4708" s="2"/>
      <c r="D4708" s="2" t="s">
        <v>16</v>
      </c>
      <c r="E4708" s="4">
        <f>59.68*(1-Z1%)</f>
        <v>59.68</v>
      </c>
      <c r="F4708" s="2">
        <v>20</v>
      </c>
      <c r="G4708" s="2"/>
    </row>
    <row r="4709" spans="1:26" customHeight="1" ht="18" hidden="true" outlineLevel="3">
      <c r="A4709" s="2" t="s">
        <v>8862</v>
      </c>
      <c r="B4709" s="3" t="s">
        <v>8863</v>
      </c>
      <c r="C4709" s="2"/>
      <c r="D4709" s="2" t="s">
        <v>16</v>
      </c>
      <c r="E4709" s="4">
        <f>59.68*(1-Z1%)</f>
        <v>59.68</v>
      </c>
      <c r="F4709" s="2">
        <v>20</v>
      </c>
      <c r="G4709" s="2"/>
    </row>
    <row r="4710" spans="1:26" customHeight="1" ht="18" hidden="true" outlineLevel="3">
      <c r="A4710" s="2" t="s">
        <v>8864</v>
      </c>
      <c r="B4710" s="3" t="s">
        <v>8865</v>
      </c>
      <c r="C4710" s="2"/>
      <c r="D4710" s="2" t="s">
        <v>16</v>
      </c>
      <c r="E4710" s="4">
        <f>59.68*(1-Z1%)</f>
        <v>59.68</v>
      </c>
      <c r="F4710" s="2">
        <v>22</v>
      </c>
      <c r="G4710" s="2"/>
    </row>
    <row r="4711" spans="1:26" customHeight="1" ht="18" hidden="true" outlineLevel="3">
      <c r="A4711" s="2" t="s">
        <v>8866</v>
      </c>
      <c r="B4711" s="3" t="s">
        <v>8867</v>
      </c>
      <c r="C4711" s="2"/>
      <c r="D4711" s="2" t="s">
        <v>16</v>
      </c>
      <c r="E4711" s="4">
        <f>59.68*(1-Z1%)</f>
        <v>59.68</v>
      </c>
      <c r="F4711" s="2">
        <v>9</v>
      </c>
      <c r="G4711" s="2"/>
    </row>
    <row r="4712" spans="1:26" customHeight="1" ht="18" hidden="true" outlineLevel="3">
      <c r="A4712" s="2" t="s">
        <v>8868</v>
      </c>
      <c r="B4712" s="3" t="s">
        <v>8869</v>
      </c>
      <c r="C4712" s="2"/>
      <c r="D4712" s="2" t="s">
        <v>16</v>
      </c>
      <c r="E4712" s="4">
        <f>107.55*(1-Z1%)</f>
        <v>107.55</v>
      </c>
      <c r="F4712" s="2">
        <v>2</v>
      </c>
      <c r="G4712" s="2"/>
    </row>
    <row r="4713" spans="1:26" customHeight="1" ht="18" hidden="true" outlineLevel="3">
      <c r="A4713" s="2" t="s">
        <v>8870</v>
      </c>
      <c r="B4713" s="3" t="s">
        <v>8871</v>
      </c>
      <c r="C4713" s="2"/>
      <c r="D4713" s="2" t="s">
        <v>16</v>
      </c>
      <c r="E4713" s="4">
        <f>107.55*(1-Z1%)</f>
        <v>107.55</v>
      </c>
      <c r="F4713" s="2">
        <v>16</v>
      </c>
      <c r="G4713" s="2"/>
    </row>
    <row r="4714" spans="1:26" customHeight="1" ht="18" hidden="true" outlineLevel="3">
      <c r="A4714" s="2" t="s">
        <v>8872</v>
      </c>
      <c r="B4714" s="3" t="s">
        <v>8873</v>
      </c>
      <c r="C4714" s="2"/>
      <c r="D4714" s="2" t="s">
        <v>16</v>
      </c>
      <c r="E4714" s="4">
        <f>108.12*(1-Z1%)</f>
        <v>108.12</v>
      </c>
      <c r="F4714" s="2">
        <v>5</v>
      </c>
      <c r="G4714" s="2"/>
    </row>
    <row r="4715" spans="1:26" customHeight="1" ht="18" hidden="true" outlineLevel="3">
      <c r="A4715" s="2" t="s">
        <v>8874</v>
      </c>
      <c r="B4715" s="3" t="s">
        <v>8875</v>
      </c>
      <c r="C4715" s="2"/>
      <c r="D4715" s="2" t="s">
        <v>16</v>
      </c>
      <c r="E4715" s="4">
        <f>111.16*(1-Z1%)</f>
        <v>111.16</v>
      </c>
      <c r="F4715" s="2">
        <v>3</v>
      </c>
      <c r="G4715" s="2"/>
    </row>
    <row r="4716" spans="1:26" customHeight="1" ht="18" hidden="true" outlineLevel="3">
      <c r="A4716" s="2" t="s">
        <v>8876</v>
      </c>
      <c r="B4716" s="3" t="s">
        <v>8877</v>
      </c>
      <c r="C4716" s="2"/>
      <c r="D4716" s="2" t="s">
        <v>16</v>
      </c>
      <c r="E4716" s="4">
        <f>53.87*(1-Z1%)</f>
        <v>53.87</v>
      </c>
      <c r="F4716" s="2">
        <v>13</v>
      </c>
      <c r="G4716" s="2"/>
    </row>
    <row r="4717" spans="1:26" customHeight="1" ht="18" hidden="true" outlineLevel="3">
      <c r="A4717" s="2" t="s">
        <v>8878</v>
      </c>
      <c r="B4717" s="3" t="s">
        <v>8879</v>
      </c>
      <c r="C4717" s="2"/>
      <c r="D4717" s="2" t="s">
        <v>16</v>
      </c>
      <c r="E4717" s="4">
        <f>52.43*(1-Z1%)</f>
        <v>52.43</v>
      </c>
      <c r="F4717" s="2">
        <v>10</v>
      </c>
      <c r="G4717" s="2"/>
    </row>
    <row r="4718" spans="1:26" customHeight="1" ht="36" hidden="true" outlineLevel="3">
      <c r="A4718" s="2" t="s">
        <v>8880</v>
      </c>
      <c r="B4718" s="3" t="s">
        <v>8881</v>
      </c>
      <c r="C4718" s="2"/>
      <c r="D4718" s="2" t="s">
        <v>16</v>
      </c>
      <c r="E4718" s="4">
        <f>135.00*(1-Z1%)</f>
        <v>135</v>
      </c>
      <c r="F4718" s="2">
        <v>6</v>
      </c>
      <c r="G4718" s="2"/>
    </row>
    <row r="4719" spans="1:26" customHeight="1" ht="18" hidden="true" outlineLevel="3">
      <c r="A4719" s="2" t="s">
        <v>8882</v>
      </c>
      <c r="B4719" s="3" t="s">
        <v>8883</v>
      </c>
      <c r="C4719" s="2"/>
      <c r="D4719" s="2" t="s">
        <v>16</v>
      </c>
      <c r="E4719" s="4">
        <f>28.03*(1-Z1%)</f>
        <v>28.03</v>
      </c>
      <c r="F4719" s="2">
        <v>10</v>
      </c>
      <c r="G4719" s="2"/>
    </row>
    <row r="4720" spans="1:26" customHeight="1" ht="18" hidden="true" outlineLevel="3">
      <c r="A4720" s="2" t="s">
        <v>8884</v>
      </c>
      <c r="B4720" s="3" t="s">
        <v>8885</v>
      </c>
      <c r="C4720" s="2"/>
      <c r="D4720" s="2" t="s">
        <v>16</v>
      </c>
      <c r="E4720" s="4">
        <f>58.47*(1-Z1%)</f>
        <v>58.47</v>
      </c>
      <c r="F4720" s="2">
        <v>40</v>
      </c>
      <c r="G4720" s="2"/>
    </row>
    <row r="4721" spans="1:26" customHeight="1" ht="18" hidden="true" outlineLevel="3">
      <c r="A4721" s="2" t="s">
        <v>8886</v>
      </c>
      <c r="B4721" s="3" t="s">
        <v>8887</v>
      </c>
      <c r="C4721" s="2"/>
      <c r="D4721" s="2" t="s">
        <v>16</v>
      </c>
      <c r="E4721" s="4">
        <f>142.12*(1-Z1%)</f>
        <v>142.12</v>
      </c>
      <c r="F4721" s="2">
        <v>13</v>
      </c>
      <c r="G4721" s="2"/>
    </row>
    <row r="4722" spans="1:26" customHeight="1" ht="18" hidden="true" outlineLevel="3">
      <c r="A4722" s="2" t="s">
        <v>8888</v>
      </c>
      <c r="B4722" s="3" t="s">
        <v>8889</v>
      </c>
      <c r="C4722" s="2"/>
      <c r="D4722" s="2" t="s">
        <v>16</v>
      </c>
      <c r="E4722" s="4">
        <f>49.44*(1-Z1%)</f>
        <v>49.44</v>
      </c>
      <c r="F4722" s="2">
        <v>16</v>
      </c>
      <c r="G4722" s="2"/>
    </row>
    <row r="4723" spans="1:26" customHeight="1" ht="18" hidden="true" outlineLevel="3">
      <c r="A4723" s="2" t="s">
        <v>8890</v>
      </c>
      <c r="B4723" s="3" t="s">
        <v>8891</v>
      </c>
      <c r="C4723" s="2"/>
      <c r="D4723" s="2" t="s">
        <v>16</v>
      </c>
      <c r="E4723" s="4">
        <f>49.38*(1-Z1%)</f>
        <v>49.38</v>
      </c>
      <c r="F4723" s="2">
        <v>5</v>
      </c>
      <c r="G4723" s="2"/>
    </row>
    <row r="4724" spans="1:26" customHeight="1" ht="18" hidden="true" outlineLevel="3">
      <c r="A4724" s="2" t="s">
        <v>8892</v>
      </c>
      <c r="B4724" s="3" t="s">
        <v>8893</v>
      </c>
      <c r="C4724" s="2"/>
      <c r="D4724" s="2" t="s">
        <v>16</v>
      </c>
      <c r="E4724" s="4">
        <f>74.06*(1-Z1%)</f>
        <v>74.06</v>
      </c>
      <c r="F4724" s="2">
        <v>4</v>
      </c>
      <c r="G4724" s="2"/>
    </row>
    <row r="4725" spans="1:26" customHeight="1" ht="18" hidden="true" outlineLevel="3">
      <c r="A4725" s="2" t="s">
        <v>8894</v>
      </c>
      <c r="B4725" s="3" t="s">
        <v>8895</v>
      </c>
      <c r="C4725" s="2"/>
      <c r="D4725" s="2" t="s">
        <v>16</v>
      </c>
      <c r="E4725" s="4">
        <f>162.42*(1-Z1%)</f>
        <v>162.42</v>
      </c>
      <c r="F4725" s="2">
        <v>17</v>
      </c>
      <c r="G4725" s="2"/>
    </row>
    <row r="4726" spans="1:26" customHeight="1" ht="18" hidden="true" outlineLevel="3">
      <c r="A4726" s="2" t="s">
        <v>8896</v>
      </c>
      <c r="B4726" s="3" t="s">
        <v>8897</v>
      </c>
      <c r="C4726" s="2"/>
      <c r="D4726" s="2" t="s">
        <v>16</v>
      </c>
      <c r="E4726" s="4">
        <f>204.44*(1-Z1%)</f>
        <v>204.44</v>
      </c>
      <c r="F4726" s="2">
        <v>10</v>
      </c>
      <c r="G4726" s="2"/>
    </row>
    <row r="4727" spans="1:26" customHeight="1" ht="18" hidden="true" outlineLevel="3">
      <c r="A4727" s="2" t="s">
        <v>8898</v>
      </c>
      <c r="B4727" s="3" t="s">
        <v>8899</v>
      </c>
      <c r="C4727" s="2"/>
      <c r="D4727" s="2" t="s">
        <v>16</v>
      </c>
      <c r="E4727" s="4">
        <f>70.17*(1-Z1%)</f>
        <v>70.17</v>
      </c>
      <c r="F4727" s="2">
        <v>22</v>
      </c>
      <c r="G4727" s="2"/>
    </row>
    <row r="4728" spans="1:26" customHeight="1" ht="18" hidden="true" outlineLevel="3">
      <c r="A4728" s="2" t="s">
        <v>8900</v>
      </c>
      <c r="B4728" s="3" t="s">
        <v>8901</v>
      </c>
      <c r="C4728" s="2"/>
      <c r="D4728" s="2" t="s">
        <v>16</v>
      </c>
      <c r="E4728" s="4">
        <f>69.26*(1-Z1%)</f>
        <v>69.26</v>
      </c>
      <c r="F4728" s="2">
        <v>11</v>
      </c>
      <c r="G4728" s="2"/>
    </row>
    <row r="4729" spans="1:26" customHeight="1" ht="18" hidden="true" outlineLevel="3">
      <c r="A4729" s="2" t="s">
        <v>8902</v>
      </c>
      <c r="B4729" s="3" t="s">
        <v>8903</v>
      </c>
      <c r="C4729" s="2"/>
      <c r="D4729" s="2" t="s">
        <v>16</v>
      </c>
      <c r="E4729" s="4">
        <f>46.41*(1-Z1%)</f>
        <v>46.41</v>
      </c>
      <c r="F4729" s="2">
        <v>16</v>
      </c>
      <c r="G4729" s="2"/>
    </row>
    <row r="4730" spans="1:26" customHeight="1" ht="18" hidden="true" outlineLevel="3">
      <c r="A4730" s="2" t="s">
        <v>8904</v>
      </c>
      <c r="B4730" s="3" t="s">
        <v>8905</v>
      </c>
      <c r="C4730" s="2"/>
      <c r="D4730" s="2" t="s">
        <v>16</v>
      </c>
      <c r="E4730" s="4">
        <f>75.25*(1-Z1%)</f>
        <v>75.25</v>
      </c>
      <c r="F4730" s="2">
        <v>15</v>
      </c>
      <c r="G4730" s="2"/>
    </row>
    <row r="4731" spans="1:26" customHeight="1" ht="18" hidden="true" outlineLevel="3">
      <c r="A4731" s="2" t="s">
        <v>8906</v>
      </c>
      <c r="B4731" s="3" t="s">
        <v>8907</v>
      </c>
      <c r="C4731" s="2"/>
      <c r="D4731" s="2" t="s">
        <v>16</v>
      </c>
      <c r="E4731" s="4">
        <f>27.76*(1-Z1%)</f>
        <v>27.76</v>
      </c>
      <c r="F4731" s="2">
        <v>23</v>
      </c>
      <c r="G4731" s="2"/>
    </row>
    <row r="4732" spans="1:26" customHeight="1" ht="18" hidden="true" outlineLevel="3">
      <c r="A4732" s="2" t="s">
        <v>8908</v>
      </c>
      <c r="B4732" s="3" t="s">
        <v>8909</v>
      </c>
      <c r="C4732" s="2"/>
      <c r="D4732" s="2" t="s">
        <v>16</v>
      </c>
      <c r="E4732" s="4">
        <f>90.95*(1-Z1%)</f>
        <v>90.95</v>
      </c>
      <c r="F4732" s="2">
        <v>22</v>
      </c>
      <c r="G4732" s="2"/>
    </row>
    <row r="4733" spans="1:26" customHeight="1" ht="18" hidden="true" outlineLevel="3">
      <c r="A4733" s="2" t="s">
        <v>8910</v>
      </c>
      <c r="B4733" s="3" t="s">
        <v>8911</v>
      </c>
      <c r="C4733" s="2"/>
      <c r="D4733" s="2" t="s">
        <v>16</v>
      </c>
      <c r="E4733" s="4">
        <f>96.98*(1-Z1%)</f>
        <v>96.98</v>
      </c>
      <c r="F4733" s="2">
        <v>17</v>
      </c>
      <c r="G4733" s="2"/>
    </row>
    <row r="4734" spans="1:26" customHeight="1" ht="36" hidden="true" outlineLevel="3">
      <c r="A4734" s="2" t="s">
        <v>8912</v>
      </c>
      <c r="B4734" s="3" t="s">
        <v>8913</v>
      </c>
      <c r="C4734" s="2"/>
      <c r="D4734" s="2" t="s">
        <v>16</v>
      </c>
      <c r="E4734" s="4">
        <f>147.44*(1-Z1%)</f>
        <v>147.44</v>
      </c>
      <c r="F4734" s="2">
        <v>1</v>
      </c>
      <c r="G4734" s="2"/>
    </row>
    <row r="4735" spans="1:26" customHeight="1" ht="36" hidden="true" outlineLevel="3">
      <c r="A4735" s="2" t="s">
        <v>8914</v>
      </c>
      <c r="B4735" s="3" t="s">
        <v>8915</v>
      </c>
      <c r="C4735" s="2"/>
      <c r="D4735" s="2" t="s">
        <v>16</v>
      </c>
      <c r="E4735" s="4">
        <f>147.44*(1-Z1%)</f>
        <v>147.44</v>
      </c>
      <c r="F4735" s="2">
        <v>1</v>
      </c>
      <c r="G4735" s="2"/>
    </row>
    <row r="4736" spans="1:26" customHeight="1" ht="18" hidden="true" outlineLevel="3">
      <c r="A4736" s="2" t="s">
        <v>8916</v>
      </c>
      <c r="B4736" s="3" t="s">
        <v>8917</v>
      </c>
      <c r="C4736" s="2"/>
      <c r="D4736" s="2" t="s">
        <v>16</v>
      </c>
      <c r="E4736" s="4">
        <f>55.58*(1-Z1%)</f>
        <v>55.58</v>
      </c>
      <c r="F4736" s="2">
        <v>13</v>
      </c>
      <c r="G4736" s="2"/>
    </row>
    <row r="4737" spans="1:26" customHeight="1" ht="36" hidden="true" outlineLevel="3">
      <c r="A4737" s="2" t="s">
        <v>8918</v>
      </c>
      <c r="B4737" s="3" t="s">
        <v>8919</v>
      </c>
      <c r="C4737" s="2"/>
      <c r="D4737" s="2" t="s">
        <v>16</v>
      </c>
      <c r="E4737" s="4">
        <f>124.51*(1-Z1%)</f>
        <v>124.51</v>
      </c>
      <c r="F4737" s="2">
        <v>2</v>
      </c>
      <c r="G4737" s="2"/>
    </row>
    <row r="4738" spans="1:26" customHeight="1" ht="36" hidden="true" outlineLevel="3">
      <c r="A4738" s="2" t="s">
        <v>8920</v>
      </c>
      <c r="B4738" s="3" t="s">
        <v>8921</v>
      </c>
      <c r="C4738" s="2"/>
      <c r="D4738" s="2" t="s">
        <v>16</v>
      </c>
      <c r="E4738" s="4">
        <f>124.51*(1-Z1%)</f>
        <v>124.51</v>
      </c>
      <c r="F4738" s="2">
        <v>8</v>
      </c>
      <c r="G4738" s="2"/>
    </row>
    <row r="4739" spans="1:26" customHeight="1" ht="18" hidden="true" outlineLevel="3">
      <c r="A4739" s="2" t="s">
        <v>8922</v>
      </c>
      <c r="B4739" s="3" t="s">
        <v>8923</v>
      </c>
      <c r="C4739" s="2"/>
      <c r="D4739" s="2" t="s">
        <v>16</v>
      </c>
      <c r="E4739" s="4">
        <f>144.76*(1-Z1%)</f>
        <v>144.76</v>
      </c>
      <c r="F4739" s="2">
        <v>10</v>
      </c>
      <c r="G4739" s="2"/>
    </row>
    <row r="4740" spans="1:26" customHeight="1" ht="18" hidden="true" outlineLevel="3">
      <c r="A4740" s="2" t="s">
        <v>8924</v>
      </c>
      <c r="B4740" s="3" t="s">
        <v>8925</v>
      </c>
      <c r="C4740" s="2"/>
      <c r="D4740" s="2" t="s">
        <v>16</v>
      </c>
      <c r="E4740" s="4">
        <f>171.76*(1-Z1%)</f>
        <v>171.76</v>
      </c>
      <c r="F4740" s="2">
        <v>10</v>
      </c>
      <c r="G4740" s="2"/>
    </row>
    <row r="4741" spans="1:26" customHeight="1" ht="36" hidden="true" outlineLevel="3">
      <c r="A4741" s="2" t="s">
        <v>8926</v>
      </c>
      <c r="B4741" s="3" t="s">
        <v>8927</v>
      </c>
      <c r="C4741" s="2"/>
      <c r="D4741" s="2" t="s">
        <v>16</v>
      </c>
      <c r="E4741" s="4">
        <f>153.50*(1-Z1%)</f>
        <v>153.5</v>
      </c>
      <c r="F4741" s="2">
        <v>10</v>
      </c>
      <c r="G4741" s="2"/>
    </row>
    <row r="4742" spans="1:26" customHeight="1" ht="36" hidden="true" outlineLevel="3">
      <c r="A4742" s="2" t="s">
        <v>8928</v>
      </c>
      <c r="B4742" s="3" t="s">
        <v>8929</v>
      </c>
      <c r="C4742" s="2"/>
      <c r="D4742" s="2" t="s">
        <v>16</v>
      </c>
      <c r="E4742" s="4">
        <f>153.50*(1-Z1%)</f>
        <v>153.5</v>
      </c>
      <c r="F4742" s="2">
        <v>10</v>
      </c>
      <c r="G4742" s="2"/>
    </row>
    <row r="4743" spans="1:26" customHeight="1" ht="18" hidden="true" outlineLevel="3">
      <c r="A4743" s="2" t="s">
        <v>8930</v>
      </c>
      <c r="B4743" s="3" t="s">
        <v>8931</v>
      </c>
      <c r="C4743" s="2"/>
      <c r="D4743" s="2" t="s">
        <v>16</v>
      </c>
      <c r="E4743" s="4">
        <f>75.49*(1-Z1%)</f>
        <v>75.49</v>
      </c>
      <c r="F4743" s="2">
        <v>1</v>
      </c>
      <c r="G4743" s="2"/>
    </row>
    <row r="4744" spans="1:26" customHeight="1" ht="18" hidden="true" outlineLevel="3">
      <c r="A4744" s="2" t="s">
        <v>8932</v>
      </c>
      <c r="B4744" s="3" t="s">
        <v>8933</v>
      </c>
      <c r="C4744" s="2"/>
      <c r="D4744" s="2" t="s">
        <v>16</v>
      </c>
      <c r="E4744" s="4">
        <f>76.73*(1-Z1%)</f>
        <v>76.73</v>
      </c>
      <c r="F4744" s="2">
        <v>8</v>
      </c>
      <c r="G4744" s="2"/>
    </row>
    <row r="4745" spans="1:26" customHeight="1" ht="18" hidden="true" outlineLevel="3">
      <c r="A4745" s="2" t="s">
        <v>8934</v>
      </c>
      <c r="B4745" s="3" t="s">
        <v>8935</v>
      </c>
      <c r="C4745" s="2"/>
      <c r="D4745" s="2" t="s">
        <v>16</v>
      </c>
      <c r="E4745" s="4">
        <f>49.38*(1-Z1%)</f>
        <v>49.38</v>
      </c>
      <c r="F4745" s="2">
        <v>15</v>
      </c>
      <c r="G4745" s="2"/>
    </row>
    <row r="4746" spans="1:26" customHeight="1" ht="18" hidden="true" outlineLevel="3">
      <c r="A4746" s="2" t="s">
        <v>8936</v>
      </c>
      <c r="B4746" s="3" t="s">
        <v>8937</v>
      </c>
      <c r="C4746" s="2"/>
      <c r="D4746" s="2" t="s">
        <v>16</v>
      </c>
      <c r="E4746" s="4">
        <f>61.76*(1-Z1%)</f>
        <v>61.76</v>
      </c>
      <c r="F4746" s="2">
        <v>6</v>
      </c>
      <c r="G4746" s="2"/>
    </row>
    <row r="4747" spans="1:26" customHeight="1" ht="36" hidden="true" outlineLevel="3">
      <c r="A4747" s="2" t="s">
        <v>8938</v>
      </c>
      <c r="B4747" s="3" t="s">
        <v>8939</v>
      </c>
      <c r="C4747" s="2"/>
      <c r="D4747" s="2" t="s">
        <v>16</v>
      </c>
      <c r="E4747" s="4">
        <f>94.30*(1-Z1%)</f>
        <v>94.3</v>
      </c>
      <c r="F4747" s="2">
        <v>5</v>
      </c>
      <c r="G4747" s="2"/>
    </row>
    <row r="4748" spans="1:26" customHeight="1" ht="36" hidden="true" outlineLevel="3">
      <c r="A4748" s="2" t="s">
        <v>8940</v>
      </c>
      <c r="B4748" s="3" t="s">
        <v>8941</v>
      </c>
      <c r="C4748" s="2"/>
      <c r="D4748" s="2" t="s">
        <v>16</v>
      </c>
      <c r="E4748" s="4">
        <f>118.06*(1-Z1%)</f>
        <v>118.06</v>
      </c>
      <c r="F4748" s="2">
        <v>3</v>
      </c>
      <c r="G4748" s="2"/>
    </row>
    <row r="4749" spans="1:26" customHeight="1" ht="36" hidden="true" outlineLevel="3">
      <c r="A4749" s="2" t="s">
        <v>8942</v>
      </c>
      <c r="B4749" s="3" t="s">
        <v>8943</v>
      </c>
      <c r="C4749" s="2"/>
      <c r="D4749" s="2" t="s">
        <v>16</v>
      </c>
      <c r="E4749" s="4">
        <f>169.42*(1-Z1%)</f>
        <v>169.42</v>
      </c>
      <c r="F4749" s="2">
        <v>14</v>
      </c>
      <c r="G4749" s="2"/>
    </row>
    <row r="4750" spans="1:26" customHeight="1" ht="35" hidden="true" outlineLevel="3">
      <c r="A4750" s="5" t="s">
        <v>8944</v>
      </c>
      <c r="B4750" s="5"/>
      <c r="C4750" s="5"/>
      <c r="D4750" s="5"/>
      <c r="E4750" s="5"/>
      <c r="F4750" s="5"/>
      <c r="G4750" s="5"/>
    </row>
    <row r="4751" spans="1:26" customHeight="1" ht="18" hidden="true" outlineLevel="3">
      <c r="A4751" s="2" t="s">
        <v>8945</v>
      </c>
      <c r="B4751" s="3" t="s">
        <v>8946</v>
      </c>
      <c r="C4751" s="2"/>
      <c r="D4751" s="2" t="s">
        <v>16</v>
      </c>
      <c r="E4751" s="4">
        <f>28.21*(1-Z1%)</f>
        <v>28.21</v>
      </c>
      <c r="F4751" s="2">
        <v>25</v>
      </c>
      <c r="G4751" s="2"/>
    </row>
    <row r="4752" spans="1:26" customHeight="1" ht="18" hidden="true" outlineLevel="3">
      <c r="A4752" s="2" t="s">
        <v>8947</v>
      </c>
      <c r="B4752" s="3" t="s">
        <v>8948</v>
      </c>
      <c r="C4752" s="2"/>
      <c r="D4752" s="2" t="s">
        <v>16</v>
      </c>
      <c r="E4752" s="4">
        <f>18.94*(1-Z1%)</f>
        <v>18.94</v>
      </c>
      <c r="F4752" s="2">
        <v>12</v>
      </c>
      <c r="G4752" s="2"/>
    </row>
    <row r="4753" spans="1:26" customHeight="1" ht="18" hidden="true" outlineLevel="3">
      <c r="A4753" s="2" t="s">
        <v>8949</v>
      </c>
      <c r="B4753" s="3" t="s">
        <v>8950</v>
      </c>
      <c r="C4753" s="2"/>
      <c r="D4753" s="2" t="s">
        <v>16</v>
      </c>
      <c r="E4753" s="4">
        <f>47.68*(1-Z1%)</f>
        <v>47.68</v>
      </c>
      <c r="F4753" s="2">
        <v>7</v>
      </c>
      <c r="G4753" s="2"/>
    </row>
    <row r="4754" spans="1:26" customHeight="1" ht="18" hidden="true" outlineLevel="3">
      <c r="A4754" s="2" t="s">
        <v>8951</v>
      </c>
      <c r="B4754" s="3" t="s">
        <v>8952</v>
      </c>
      <c r="C4754" s="2"/>
      <c r="D4754" s="2" t="s">
        <v>16</v>
      </c>
      <c r="E4754" s="4">
        <f>28.21*(1-Z1%)</f>
        <v>28.21</v>
      </c>
      <c r="F4754" s="2">
        <v>1</v>
      </c>
      <c r="G4754" s="2"/>
    </row>
    <row r="4755" spans="1:26" customHeight="1" ht="18" hidden="true" outlineLevel="3">
      <c r="A4755" s="2" t="s">
        <v>8953</v>
      </c>
      <c r="B4755" s="3" t="s">
        <v>8954</v>
      </c>
      <c r="C4755" s="2"/>
      <c r="D4755" s="2" t="s">
        <v>16</v>
      </c>
      <c r="E4755" s="4">
        <f>46.99*(1-Z1%)</f>
        <v>46.99</v>
      </c>
      <c r="F4755" s="2">
        <v>3</v>
      </c>
      <c r="G4755" s="2"/>
    </row>
    <row r="4756" spans="1:26" customHeight="1" ht="18" hidden="true" outlineLevel="3">
      <c r="A4756" s="2" t="s">
        <v>8955</v>
      </c>
      <c r="B4756" s="3" t="s">
        <v>8956</v>
      </c>
      <c r="C4756" s="2"/>
      <c r="D4756" s="2" t="s">
        <v>16</v>
      </c>
      <c r="E4756" s="4">
        <f>53.87*(1-Z1%)</f>
        <v>53.87</v>
      </c>
      <c r="F4756" s="2">
        <v>20</v>
      </c>
      <c r="G4756" s="2"/>
    </row>
    <row r="4757" spans="1:26" customHeight="1" ht="18" hidden="true" outlineLevel="3">
      <c r="A4757" s="2" t="s">
        <v>8957</v>
      </c>
      <c r="B4757" s="3" t="s">
        <v>8958</v>
      </c>
      <c r="C4757" s="2"/>
      <c r="D4757" s="2" t="s">
        <v>16</v>
      </c>
      <c r="E4757" s="4">
        <f>47.71*(1-Z1%)</f>
        <v>47.71</v>
      </c>
      <c r="F4757" s="2">
        <v>4</v>
      </c>
      <c r="G4757" s="2"/>
    </row>
    <row r="4758" spans="1:26" customHeight="1" ht="18" hidden="true" outlineLevel="3">
      <c r="A4758" s="2" t="s">
        <v>8959</v>
      </c>
      <c r="B4758" s="3" t="s">
        <v>8960</v>
      </c>
      <c r="C4758" s="2"/>
      <c r="D4758" s="2" t="s">
        <v>16</v>
      </c>
      <c r="E4758" s="4">
        <f>53.87*(1-Z1%)</f>
        <v>53.87</v>
      </c>
      <c r="F4758" s="2">
        <v>17</v>
      </c>
      <c r="G4758" s="2"/>
    </row>
    <row r="4759" spans="1:26" customHeight="1" ht="18" hidden="true" outlineLevel="3">
      <c r="A4759" s="2" t="s">
        <v>8961</v>
      </c>
      <c r="B4759" s="3" t="s">
        <v>8962</v>
      </c>
      <c r="C4759" s="2"/>
      <c r="D4759" s="2" t="s">
        <v>16</v>
      </c>
      <c r="E4759" s="4">
        <f>34.55*(1-Z1%)</f>
        <v>34.55</v>
      </c>
      <c r="F4759" s="2">
        <v>12</v>
      </c>
      <c r="G4759" s="2"/>
    </row>
    <row r="4760" spans="1:26" customHeight="1" ht="18" hidden="true" outlineLevel="3">
      <c r="A4760" s="2" t="s">
        <v>8963</v>
      </c>
      <c r="B4760" s="3" t="s">
        <v>8964</v>
      </c>
      <c r="C4760" s="2"/>
      <c r="D4760" s="2" t="s">
        <v>16</v>
      </c>
      <c r="E4760" s="4">
        <f>28.21*(1-Z1%)</f>
        <v>28.21</v>
      </c>
      <c r="F4760" s="2">
        <v>2</v>
      </c>
      <c r="G4760" s="2"/>
    </row>
    <row r="4761" spans="1:26" customHeight="1" ht="36" hidden="true" outlineLevel="3">
      <c r="A4761" s="2" t="s">
        <v>8965</v>
      </c>
      <c r="B4761" s="3" t="s">
        <v>8966</v>
      </c>
      <c r="C4761" s="2"/>
      <c r="D4761" s="2" t="s">
        <v>16</v>
      </c>
      <c r="E4761" s="4">
        <f>39.59*(1-Z1%)</f>
        <v>39.59</v>
      </c>
      <c r="F4761" s="2">
        <v>10</v>
      </c>
      <c r="G4761" s="2"/>
    </row>
    <row r="4762" spans="1:26" customHeight="1" ht="18" hidden="true" outlineLevel="3">
      <c r="A4762" s="2" t="s">
        <v>8967</v>
      </c>
      <c r="B4762" s="3" t="s">
        <v>8968</v>
      </c>
      <c r="C4762" s="2"/>
      <c r="D4762" s="2" t="s">
        <v>16</v>
      </c>
      <c r="E4762" s="4">
        <f>68.17*(1-Z1%)</f>
        <v>68.17</v>
      </c>
      <c r="F4762" s="2">
        <v>4</v>
      </c>
      <c r="G4762" s="2"/>
    </row>
    <row r="4763" spans="1:26" customHeight="1" ht="18" hidden="true" outlineLevel="3">
      <c r="A4763" s="2" t="s">
        <v>8969</v>
      </c>
      <c r="B4763" s="3" t="s">
        <v>8970</v>
      </c>
      <c r="C4763" s="2"/>
      <c r="D4763" s="2" t="s">
        <v>16</v>
      </c>
      <c r="E4763" s="4">
        <f>100.87*(1-Z1%)</f>
        <v>100.87</v>
      </c>
      <c r="F4763" s="2">
        <v>5</v>
      </c>
      <c r="G4763" s="2"/>
    </row>
    <row r="4764" spans="1:26" customHeight="1" ht="35" hidden="true" outlineLevel="3">
      <c r="A4764" s="5" t="s">
        <v>8971</v>
      </c>
      <c r="B4764" s="5"/>
      <c r="C4764" s="5"/>
      <c r="D4764" s="5"/>
      <c r="E4764" s="5"/>
      <c r="F4764" s="5"/>
      <c r="G4764" s="5"/>
    </row>
    <row r="4765" spans="1:26" customHeight="1" ht="18" hidden="true" outlineLevel="3">
      <c r="A4765" s="2" t="s">
        <v>8972</v>
      </c>
      <c r="B4765" s="3" t="s">
        <v>8973</v>
      </c>
      <c r="C4765" s="2"/>
      <c r="D4765" s="2" t="s">
        <v>16</v>
      </c>
      <c r="E4765" s="4">
        <f>42.32*(1-Z1%)</f>
        <v>42.32</v>
      </c>
      <c r="F4765" s="2">
        <v>3</v>
      </c>
      <c r="G4765" s="2"/>
    </row>
    <row r="4766" spans="1:26" customHeight="1" ht="18" hidden="true" outlineLevel="3">
      <c r="A4766" s="2" t="s">
        <v>8974</v>
      </c>
      <c r="B4766" s="3" t="s">
        <v>8975</v>
      </c>
      <c r="C4766" s="2"/>
      <c r="D4766" s="2" t="s">
        <v>16</v>
      </c>
      <c r="E4766" s="4">
        <f>42.32*(1-Z1%)</f>
        <v>42.32</v>
      </c>
      <c r="F4766" s="2">
        <v>1</v>
      </c>
      <c r="G4766" s="2"/>
    </row>
    <row r="4767" spans="1:26" customHeight="1" ht="18" hidden="true" outlineLevel="3">
      <c r="A4767" s="2" t="s">
        <v>8976</v>
      </c>
      <c r="B4767" s="3" t="s">
        <v>8977</v>
      </c>
      <c r="C4767" s="2"/>
      <c r="D4767" s="2" t="s">
        <v>16</v>
      </c>
      <c r="E4767" s="4">
        <f>42.32*(1-Z1%)</f>
        <v>42.32</v>
      </c>
      <c r="F4767" s="2">
        <v>1</v>
      </c>
      <c r="G4767" s="2"/>
    </row>
    <row r="4768" spans="1:26" customHeight="1" ht="35" hidden="true" outlineLevel="3">
      <c r="A4768" s="5" t="s">
        <v>8978</v>
      </c>
      <c r="B4768" s="5"/>
      <c r="C4768" s="5"/>
      <c r="D4768" s="5"/>
      <c r="E4768" s="5"/>
      <c r="F4768" s="5"/>
      <c r="G4768" s="5"/>
    </row>
    <row r="4769" spans="1:26" customHeight="1" ht="18" hidden="true" outlineLevel="3">
      <c r="A4769" s="2" t="s">
        <v>8979</v>
      </c>
      <c r="B4769" s="3" t="s">
        <v>8980</v>
      </c>
      <c r="C4769" s="2"/>
      <c r="D4769" s="2" t="s">
        <v>16</v>
      </c>
      <c r="E4769" s="4">
        <f>45.43*(1-Z1%)</f>
        <v>45.43</v>
      </c>
      <c r="F4769" s="2">
        <v>1</v>
      </c>
      <c r="G4769" s="2"/>
    </row>
    <row r="4770" spans="1:26" customHeight="1" ht="36" hidden="true" outlineLevel="3">
      <c r="A4770" s="2" t="s">
        <v>8981</v>
      </c>
      <c r="B4770" s="3" t="s">
        <v>8982</v>
      </c>
      <c r="C4770" s="2"/>
      <c r="D4770" s="2" t="s">
        <v>16</v>
      </c>
      <c r="E4770" s="4">
        <f>42.41*(1-Z1%)</f>
        <v>42.41</v>
      </c>
      <c r="F4770" s="2">
        <v>1</v>
      </c>
      <c r="G4770" s="2"/>
    </row>
    <row r="4771" spans="1:26" customHeight="1" ht="18" hidden="true" outlineLevel="3">
      <c r="A4771" s="2" t="s">
        <v>8983</v>
      </c>
      <c r="B4771" s="3" t="s">
        <v>8984</v>
      </c>
      <c r="C4771" s="2"/>
      <c r="D4771" s="2" t="s">
        <v>16</v>
      </c>
      <c r="E4771" s="4">
        <f>29.11*(1-Z1%)</f>
        <v>29.11</v>
      </c>
      <c r="F4771" s="2">
        <v>2</v>
      </c>
      <c r="G4771" s="2"/>
    </row>
    <row r="4772" spans="1:26" customHeight="1" ht="35">
      <c r="A4772" s="1" t="s">
        <v>8985</v>
      </c>
      <c r="B4772" s="1"/>
      <c r="C4772" s="1"/>
      <c r="D4772" s="1"/>
      <c r="E4772" s="1"/>
      <c r="F4772" s="1"/>
      <c r="G4772" s="1"/>
    </row>
    <row r="4773" spans="1:26" customHeight="1" ht="35" hidden="true" outlineLevel="2">
      <c r="A4773" s="5" t="s">
        <v>8986</v>
      </c>
      <c r="B4773" s="5"/>
      <c r="C4773" s="5"/>
      <c r="D4773" s="5"/>
      <c r="E4773" s="5"/>
      <c r="F4773" s="5"/>
      <c r="G4773" s="5"/>
    </row>
    <row r="4774" spans="1:26" customHeight="1" ht="36" hidden="true" outlineLevel="2">
      <c r="A4774" s="2" t="s">
        <v>8987</v>
      </c>
      <c r="B4774" s="3" t="s">
        <v>8988</v>
      </c>
      <c r="C4774" s="2"/>
      <c r="D4774" s="2" t="s">
        <v>16</v>
      </c>
      <c r="E4774" s="4">
        <f>173.25*(1-Z1%)</f>
        <v>173.25</v>
      </c>
      <c r="F4774" s="2">
        <v>14</v>
      </c>
      <c r="G4774" s="2"/>
    </row>
    <row r="4775" spans="1:26" customHeight="1" ht="36" hidden="true" outlineLevel="2">
      <c r="A4775" s="2" t="s">
        <v>8989</v>
      </c>
      <c r="B4775" s="3" t="s">
        <v>8990</v>
      </c>
      <c r="C4775" s="2"/>
      <c r="D4775" s="2" t="s">
        <v>16</v>
      </c>
      <c r="E4775" s="4">
        <f>173.25*(1-Z1%)</f>
        <v>173.25</v>
      </c>
      <c r="F4775" s="2">
        <v>15</v>
      </c>
      <c r="G4775" s="2"/>
    </row>
    <row r="4776" spans="1:26" customHeight="1" ht="36" hidden="true" outlineLevel="2">
      <c r="A4776" s="2" t="s">
        <v>8991</v>
      </c>
      <c r="B4776" s="3" t="s">
        <v>8992</v>
      </c>
      <c r="C4776" s="2"/>
      <c r="D4776" s="2" t="s">
        <v>16</v>
      </c>
      <c r="E4776" s="4">
        <f>80.44*(1-Z1%)</f>
        <v>80.44</v>
      </c>
      <c r="F4776" s="2">
        <v>15</v>
      </c>
      <c r="G4776" s="2"/>
    </row>
    <row r="4777" spans="1:26" customHeight="1" ht="36" hidden="true" outlineLevel="2">
      <c r="A4777" s="2" t="s">
        <v>8993</v>
      </c>
      <c r="B4777" s="3" t="s">
        <v>8994</v>
      </c>
      <c r="C4777" s="2"/>
      <c r="D4777" s="2" t="s">
        <v>16</v>
      </c>
      <c r="E4777" s="4">
        <f>80.44*(1-Z1%)</f>
        <v>80.44</v>
      </c>
      <c r="F4777" s="2">
        <v>15</v>
      </c>
      <c r="G4777" s="2"/>
    </row>
    <row r="4778" spans="1:26" customHeight="1" ht="36" hidden="true" outlineLevel="2">
      <c r="A4778" s="2" t="s">
        <v>8995</v>
      </c>
      <c r="B4778" s="3" t="s">
        <v>8996</v>
      </c>
      <c r="C4778" s="2"/>
      <c r="D4778" s="2" t="s">
        <v>16</v>
      </c>
      <c r="E4778" s="4">
        <f>80.44*(1-Z1%)</f>
        <v>80.44</v>
      </c>
      <c r="F4778" s="2">
        <v>10</v>
      </c>
      <c r="G4778" s="2"/>
    </row>
    <row r="4779" spans="1:26" customHeight="1" ht="18" hidden="true" outlineLevel="2">
      <c r="A4779" s="2" t="s">
        <v>8997</v>
      </c>
      <c r="B4779" s="3" t="s">
        <v>8998</v>
      </c>
      <c r="C4779" s="2"/>
      <c r="D4779" s="2" t="s">
        <v>16</v>
      </c>
      <c r="E4779" s="4">
        <f>28.22*(1-Z1%)</f>
        <v>28.22</v>
      </c>
      <c r="F4779" s="2">
        <v>7</v>
      </c>
      <c r="G4779" s="2"/>
    </row>
    <row r="4780" spans="1:26" customHeight="1" ht="36" hidden="true" outlineLevel="2">
      <c r="A4780" s="2" t="s">
        <v>8999</v>
      </c>
      <c r="B4780" s="3" t="s">
        <v>9000</v>
      </c>
      <c r="C4780" s="2"/>
      <c r="D4780" s="2" t="s">
        <v>16</v>
      </c>
      <c r="E4780" s="4">
        <f>49.50*(1-Z1%)</f>
        <v>49.5</v>
      </c>
      <c r="F4780" s="2">
        <v>4</v>
      </c>
      <c r="G4780" s="2"/>
    </row>
    <row r="4781" spans="1:26" customHeight="1" ht="18" hidden="true" outlineLevel="2">
      <c r="A4781" s="2" t="s">
        <v>9001</v>
      </c>
      <c r="B4781" s="3" t="s">
        <v>9002</v>
      </c>
      <c r="C4781" s="2"/>
      <c r="D4781" s="2" t="s">
        <v>16</v>
      </c>
      <c r="E4781" s="4">
        <f>31.64*(1-Z1%)</f>
        <v>31.64</v>
      </c>
      <c r="F4781" s="2">
        <v>5</v>
      </c>
      <c r="G4781" s="2"/>
    </row>
    <row r="4782" spans="1:26" customHeight="1" ht="36" hidden="true" outlineLevel="2">
      <c r="A4782" s="2" t="s">
        <v>9003</v>
      </c>
      <c r="B4782" s="3" t="s">
        <v>9004</v>
      </c>
      <c r="C4782" s="2"/>
      <c r="D4782" s="2" t="s">
        <v>16</v>
      </c>
      <c r="E4782" s="4">
        <f>222.75*(1-Z1%)</f>
        <v>222.75</v>
      </c>
      <c r="F4782" s="2">
        <v>6</v>
      </c>
      <c r="G4782" s="2"/>
    </row>
    <row r="4783" spans="1:26" customHeight="1" ht="35" hidden="true" outlineLevel="2">
      <c r="A4783" s="5" t="s">
        <v>9005</v>
      </c>
      <c r="B4783" s="5"/>
      <c r="C4783" s="5"/>
      <c r="D4783" s="5"/>
      <c r="E4783" s="5"/>
      <c r="F4783" s="5"/>
      <c r="G4783" s="5"/>
    </row>
    <row r="4784" spans="1:26" customHeight="1" ht="35" hidden="true" outlineLevel="3">
      <c r="A4784" s="5" t="s">
        <v>9006</v>
      </c>
      <c r="B4784" s="5"/>
      <c r="C4784" s="5"/>
      <c r="D4784" s="5"/>
      <c r="E4784" s="5"/>
      <c r="F4784" s="5"/>
      <c r="G4784" s="5"/>
    </row>
    <row r="4785" spans="1:26" customHeight="1" ht="36" hidden="true" outlineLevel="3">
      <c r="A4785" s="2" t="s">
        <v>9007</v>
      </c>
      <c r="B4785" s="3" t="s">
        <v>9008</v>
      </c>
      <c r="C4785" s="2"/>
      <c r="D4785" s="2" t="s">
        <v>16</v>
      </c>
      <c r="E4785" s="4">
        <f>558.22*(1-Z1%)</f>
        <v>558.22</v>
      </c>
      <c r="F4785" s="2">
        <v>3</v>
      </c>
      <c r="G4785" s="2"/>
    </row>
    <row r="4786" spans="1:26" customHeight="1" ht="36" hidden="true" outlineLevel="3">
      <c r="A4786" s="2" t="s">
        <v>9009</v>
      </c>
      <c r="B4786" s="3" t="s">
        <v>9010</v>
      </c>
      <c r="C4786" s="2"/>
      <c r="D4786" s="2" t="s">
        <v>16</v>
      </c>
      <c r="E4786" s="4">
        <f>558.22*(1-Z1%)</f>
        <v>558.22</v>
      </c>
      <c r="F4786" s="2">
        <v>3</v>
      </c>
      <c r="G4786" s="2"/>
    </row>
    <row r="4787" spans="1:26" customHeight="1" ht="18" hidden="true" outlineLevel="3">
      <c r="A4787" s="2" t="s">
        <v>9011</v>
      </c>
      <c r="B4787" s="3" t="s">
        <v>9012</v>
      </c>
      <c r="C4787" s="2"/>
      <c r="D4787" s="2" t="s">
        <v>16</v>
      </c>
      <c r="E4787" s="4">
        <f>278.44*(1-Z1%)</f>
        <v>278.44</v>
      </c>
      <c r="F4787" s="2">
        <v>16</v>
      </c>
      <c r="G4787" s="2"/>
    </row>
    <row r="4788" spans="1:26" customHeight="1" ht="18" hidden="true" outlineLevel="3">
      <c r="A4788" s="2" t="s">
        <v>9013</v>
      </c>
      <c r="B4788" s="3" t="s">
        <v>9014</v>
      </c>
      <c r="C4788" s="2"/>
      <c r="D4788" s="2" t="s">
        <v>16</v>
      </c>
      <c r="E4788" s="4">
        <f>278.44*(1-Z1%)</f>
        <v>278.44</v>
      </c>
      <c r="F4788" s="2">
        <v>17</v>
      </c>
      <c r="G4788" s="2"/>
    </row>
    <row r="4789" spans="1:26" customHeight="1" ht="18" hidden="true" outlineLevel="3">
      <c r="A4789" s="2" t="s">
        <v>9015</v>
      </c>
      <c r="B4789" s="3" t="s">
        <v>9016</v>
      </c>
      <c r="C4789" s="2"/>
      <c r="D4789" s="2" t="s">
        <v>16</v>
      </c>
      <c r="E4789" s="4">
        <f>278.44*(1-Z1%)</f>
        <v>278.44</v>
      </c>
      <c r="F4789" s="2">
        <v>16</v>
      </c>
      <c r="G4789" s="2"/>
    </row>
    <row r="4790" spans="1:26" customHeight="1" ht="36" hidden="true" outlineLevel="3">
      <c r="A4790" s="2" t="s">
        <v>9017</v>
      </c>
      <c r="B4790" s="3" t="s">
        <v>9018</v>
      </c>
      <c r="C4790" s="2"/>
      <c r="D4790" s="2" t="s">
        <v>16</v>
      </c>
      <c r="E4790" s="4">
        <f>558.27*(1-Z1%)</f>
        <v>558.27</v>
      </c>
      <c r="F4790" s="2">
        <v>3</v>
      </c>
      <c r="G4790" s="2"/>
    </row>
    <row r="4791" spans="1:26" customHeight="1" ht="36" hidden="true" outlineLevel="3">
      <c r="A4791" s="2" t="s">
        <v>9019</v>
      </c>
      <c r="B4791" s="3" t="s">
        <v>9020</v>
      </c>
      <c r="C4791" s="2"/>
      <c r="D4791" s="2" t="s">
        <v>16</v>
      </c>
      <c r="E4791" s="4">
        <f>558.27*(1-Z1%)</f>
        <v>558.27</v>
      </c>
      <c r="F4791" s="2">
        <v>2</v>
      </c>
      <c r="G4791" s="2"/>
    </row>
    <row r="4792" spans="1:26" customHeight="1" ht="18" hidden="true" outlineLevel="3">
      <c r="A4792" s="2" t="s">
        <v>9021</v>
      </c>
      <c r="B4792" s="3" t="s">
        <v>9022</v>
      </c>
      <c r="C4792" s="2"/>
      <c r="D4792" s="2" t="s">
        <v>16</v>
      </c>
      <c r="E4792" s="4">
        <f>938.27*(1-Z1%)</f>
        <v>938.27</v>
      </c>
      <c r="F4792" s="2">
        <v>1</v>
      </c>
      <c r="G4792" s="2"/>
    </row>
    <row r="4793" spans="1:26" customHeight="1" ht="18" hidden="true" outlineLevel="3">
      <c r="A4793" s="2" t="s">
        <v>9023</v>
      </c>
      <c r="B4793" s="3" t="s">
        <v>9024</v>
      </c>
      <c r="C4793" s="2"/>
      <c r="D4793" s="2" t="s">
        <v>16</v>
      </c>
      <c r="E4793" s="4">
        <f>736.89*(1-Z1%)</f>
        <v>736.89</v>
      </c>
      <c r="F4793" s="2">
        <v>8</v>
      </c>
      <c r="G4793" s="2"/>
    </row>
    <row r="4794" spans="1:26" customHeight="1" ht="18" hidden="true" outlineLevel="3">
      <c r="A4794" s="2" t="s">
        <v>9025</v>
      </c>
      <c r="B4794" s="3" t="s">
        <v>9026</v>
      </c>
      <c r="C4794" s="2"/>
      <c r="D4794" s="2" t="s">
        <v>16</v>
      </c>
      <c r="E4794" s="4">
        <f>776.41*(1-Z1%)</f>
        <v>776.41</v>
      </c>
      <c r="F4794" s="2">
        <v>5</v>
      </c>
      <c r="G4794" s="2"/>
    </row>
    <row r="4795" spans="1:26" customHeight="1" ht="18" hidden="true" outlineLevel="3">
      <c r="A4795" s="2" t="s">
        <v>9027</v>
      </c>
      <c r="B4795" s="3" t="s">
        <v>9028</v>
      </c>
      <c r="C4795" s="2"/>
      <c r="D4795" s="2" t="s">
        <v>16</v>
      </c>
      <c r="E4795" s="4">
        <f>1187.00*(1-Z1%)</f>
        <v>1187</v>
      </c>
      <c r="F4795" s="2">
        <v>4</v>
      </c>
      <c r="G4795" s="2"/>
    </row>
    <row r="4796" spans="1:26" customHeight="1" ht="18" hidden="true" outlineLevel="3">
      <c r="A4796" s="2" t="s">
        <v>9029</v>
      </c>
      <c r="B4796" s="3" t="s">
        <v>9030</v>
      </c>
      <c r="C4796" s="2"/>
      <c r="D4796" s="2" t="s">
        <v>16</v>
      </c>
      <c r="E4796" s="4">
        <f>582.19*(1-Z1%)</f>
        <v>582.19</v>
      </c>
      <c r="F4796" s="2">
        <v>1</v>
      </c>
      <c r="G4796" s="2"/>
    </row>
    <row r="4797" spans="1:26" customHeight="1" ht="36" hidden="true" outlineLevel="3">
      <c r="A4797" s="2" t="s">
        <v>9031</v>
      </c>
      <c r="B4797" s="3" t="s">
        <v>9032</v>
      </c>
      <c r="C4797" s="2"/>
      <c r="D4797" s="2" t="s">
        <v>16</v>
      </c>
      <c r="E4797" s="4">
        <f>444.27*(1-Z1%)</f>
        <v>444.27</v>
      </c>
      <c r="F4797" s="2">
        <v>1</v>
      </c>
      <c r="G4797" s="2"/>
    </row>
    <row r="4798" spans="1:26" customHeight="1" ht="18" hidden="true" outlineLevel="3">
      <c r="A4798" s="2" t="s">
        <v>9033</v>
      </c>
      <c r="B4798" s="3" t="s">
        <v>9034</v>
      </c>
      <c r="C4798" s="2"/>
      <c r="D4798" s="2" t="s">
        <v>16</v>
      </c>
      <c r="E4798" s="4">
        <f>362.25*(1-Z1%)</f>
        <v>362.25</v>
      </c>
      <c r="F4798" s="2">
        <v>39</v>
      </c>
      <c r="G4798" s="2"/>
    </row>
    <row r="4799" spans="1:26" customHeight="1" ht="18" hidden="true" outlineLevel="3">
      <c r="A4799" s="2" t="s">
        <v>9035</v>
      </c>
      <c r="B4799" s="3" t="s">
        <v>9036</v>
      </c>
      <c r="C4799" s="2"/>
      <c r="D4799" s="2" t="s">
        <v>16</v>
      </c>
      <c r="E4799" s="4">
        <f>454.10*(1-Z1%)</f>
        <v>454.1</v>
      </c>
      <c r="F4799" s="2">
        <v>1</v>
      </c>
      <c r="G4799" s="2"/>
    </row>
    <row r="4800" spans="1:26" customHeight="1" ht="18" hidden="true" outlineLevel="3">
      <c r="A4800" s="2" t="s">
        <v>9037</v>
      </c>
      <c r="B4800" s="3" t="s">
        <v>9038</v>
      </c>
      <c r="C4800" s="2"/>
      <c r="D4800" s="2" t="s">
        <v>16</v>
      </c>
      <c r="E4800" s="4">
        <f>426.94*(1-Z1%)</f>
        <v>426.94</v>
      </c>
      <c r="F4800" s="2">
        <v>42</v>
      </c>
      <c r="G4800" s="2"/>
    </row>
    <row r="4801" spans="1:26" customHeight="1" ht="36" hidden="true" outlineLevel="3">
      <c r="A4801" s="2" t="s">
        <v>9039</v>
      </c>
      <c r="B4801" s="3" t="s">
        <v>9040</v>
      </c>
      <c r="C4801" s="2"/>
      <c r="D4801" s="2" t="s">
        <v>16</v>
      </c>
      <c r="E4801" s="4">
        <f>3223.35*(1-Z1%)</f>
        <v>3223.35</v>
      </c>
      <c r="F4801" s="2">
        <v>1</v>
      </c>
      <c r="G4801" s="2"/>
    </row>
    <row r="4802" spans="1:26" customHeight="1" ht="18" hidden="true" outlineLevel="3">
      <c r="A4802" s="2" t="s">
        <v>9041</v>
      </c>
      <c r="B4802" s="3" t="s">
        <v>9042</v>
      </c>
      <c r="C4802" s="2"/>
      <c r="D4802" s="2" t="s">
        <v>16</v>
      </c>
      <c r="E4802" s="4">
        <f>521.94*(1-Z1%)</f>
        <v>521.94</v>
      </c>
      <c r="F4802" s="2">
        <v>1</v>
      </c>
      <c r="G4802" s="2"/>
    </row>
    <row r="4803" spans="1:26" customHeight="1" ht="18" hidden="true" outlineLevel="3">
      <c r="A4803" s="2" t="s">
        <v>9043</v>
      </c>
      <c r="B4803" s="3" t="s">
        <v>9044</v>
      </c>
      <c r="C4803" s="2"/>
      <c r="D4803" s="2" t="s">
        <v>16</v>
      </c>
      <c r="E4803" s="4">
        <f>484.91*(1-Z1%)</f>
        <v>484.91</v>
      </c>
      <c r="F4803" s="2">
        <v>6</v>
      </c>
      <c r="G4803" s="2"/>
    </row>
    <row r="4804" spans="1:26" customHeight="1" ht="18" hidden="true" outlineLevel="3">
      <c r="A4804" s="2" t="s">
        <v>9045</v>
      </c>
      <c r="B4804" s="3" t="s">
        <v>9046</v>
      </c>
      <c r="C4804" s="2"/>
      <c r="D4804" s="2" t="s">
        <v>16</v>
      </c>
      <c r="E4804" s="4">
        <f>521.49*(1-Z1%)</f>
        <v>521.49</v>
      </c>
      <c r="F4804" s="2">
        <v>4</v>
      </c>
      <c r="G4804" s="2"/>
    </row>
    <row r="4805" spans="1:26" customHeight="1" ht="18" hidden="true" outlineLevel="3">
      <c r="A4805" s="2" t="s">
        <v>9047</v>
      </c>
      <c r="B4805" s="3" t="s">
        <v>9048</v>
      </c>
      <c r="C4805" s="2"/>
      <c r="D4805" s="2" t="s">
        <v>16</v>
      </c>
      <c r="E4805" s="4">
        <f>788.40*(1-Z1%)</f>
        <v>788.4</v>
      </c>
      <c r="F4805" s="2">
        <v>3</v>
      </c>
      <c r="G4805" s="2"/>
    </row>
    <row r="4806" spans="1:26" customHeight="1" ht="18" hidden="true" outlineLevel="3">
      <c r="A4806" s="2" t="s">
        <v>9049</v>
      </c>
      <c r="B4806" s="3" t="s">
        <v>9050</v>
      </c>
      <c r="C4806" s="2"/>
      <c r="D4806" s="2" t="s">
        <v>16</v>
      </c>
      <c r="E4806" s="4">
        <f>471.97*(1-Z1%)</f>
        <v>471.97</v>
      </c>
      <c r="F4806" s="2">
        <v>1</v>
      </c>
      <c r="G4806" s="2"/>
    </row>
    <row r="4807" spans="1:26" customHeight="1" ht="18" hidden="true" outlineLevel="3">
      <c r="A4807" s="2" t="s">
        <v>9051</v>
      </c>
      <c r="B4807" s="3" t="s">
        <v>9052</v>
      </c>
      <c r="C4807" s="2"/>
      <c r="D4807" s="2" t="s">
        <v>16</v>
      </c>
      <c r="E4807" s="4">
        <f>900.98*(1-Z1%)</f>
        <v>900.98</v>
      </c>
      <c r="F4807" s="2">
        <v>1</v>
      </c>
      <c r="G4807" s="2"/>
    </row>
    <row r="4808" spans="1:26" customHeight="1" ht="18" hidden="true" outlineLevel="3">
      <c r="A4808" s="2" t="s">
        <v>9053</v>
      </c>
      <c r="B4808" s="3" t="s">
        <v>9054</v>
      </c>
      <c r="C4808" s="2"/>
      <c r="D4808" s="2" t="s">
        <v>16</v>
      </c>
      <c r="E4808" s="4">
        <f>452.32*(1-Z1%)</f>
        <v>452.32</v>
      </c>
      <c r="F4808" s="2">
        <v>1</v>
      </c>
      <c r="G4808" s="2"/>
    </row>
    <row r="4809" spans="1:26" customHeight="1" ht="18" hidden="true" outlineLevel="3">
      <c r="A4809" s="2" t="s">
        <v>9055</v>
      </c>
      <c r="B4809" s="3" t="s">
        <v>9056</v>
      </c>
      <c r="C4809" s="2"/>
      <c r="D4809" s="2" t="s">
        <v>16</v>
      </c>
      <c r="E4809" s="4">
        <f>517.93*(1-Z1%)</f>
        <v>517.93</v>
      </c>
      <c r="F4809" s="2">
        <v>1</v>
      </c>
      <c r="G4809" s="2"/>
    </row>
    <row r="4810" spans="1:26" customHeight="1" ht="18" hidden="true" outlineLevel="3">
      <c r="A4810" s="2" t="s">
        <v>9057</v>
      </c>
      <c r="B4810" s="3" t="s">
        <v>9058</v>
      </c>
      <c r="C4810" s="2"/>
      <c r="D4810" s="2" t="s">
        <v>16</v>
      </c>
      <c r="E4810" s="4">
        <f>413.19*(1-Z1%)</f>
        <v>413.19</v>
      </c>
      <c r="F4810" s="2">
        <v>4</v>
      </c>
      <c r="G4810" s="2"/>
    </row>
    <row r="4811" spans="1:26" customHeight="1" ht="18" hidden="true" outlineLevel="3">
      <c r="A4811" s="2" t="s">
        <v>9059</v>
      </c>
      <c r="B4811" s="3" t="s">
        <v>9060</v>
      </c>
      <c r="C4811" s="2"/>
      <c r="D4811" s="2" t="s">
        <v>16</v>
      </c>
      <c r="E4811" s="4">
        <f>498.40*(1-Z1%)</f>
        <v>498.4</v>
      </c>
      <c r="F4811" s="2">
        <v>2</v>
      </c>
      <c r="G4811" s="2"/>
    </row>
    <row r="4812" spans="1:26" customHeight="1" ht="18" hidden="true" outlineLevel="3">
      <c r="A4812" s="2" t="s">
        <v>9061</v>
      </c>
      <c r="B4812" s="3" t="s">
        <v>9062</v>
      </c>
      <c r="C4812" s="2"/>
      <c r="D4812" s="2" t="s">
        <v>16</v>
      </c>
      <c r="E4812" s="4">
        <f>491.42*(1-Z1%)</f>
        <v>491.42</v>
      </c>
      <c r="F4812" s="2">
        <v>3</v>
      </c>
      <c r="G4812" s="2"/>
    </row>
    <row r="4813" spans="1:26" customHeight="1" ht="18" hidden="true" outlineLevel="3">
      <c r="A4813" s="2" t="s">
        <v>9063</v>
      </c>
      <c r="B4813" s="3" t="s">
        <v>9064</v>
      </c>
      <c r="C4813" s="2"/>
      <c r="D4813" s="2" t="s">
        <v>16</v>
      </c>
      <c r="E4813" s="4">
        <f>491.42*(1-Z1%)</f>
        <v>491.42</v>
      </c>
      <c r="F4813" s="2">
        <v>3</v>
      </c>
      <c r="G4813" s="2"/>
    </row>
    <row r="4814" spans="1:26" customHeight="1" ht="18" hidden="true" outlineLevel="3">
      <c r="A4814" s="2" t="s">
        <v>9065</v>
      </c>
      <c r="B4814" s="3" t="s">
        <v>9066</v>
      </c>
      <c r="C4814" s="2"/>
      <c r="D4814" s="2" t="s">
        <v>16</v>
      </c>
      <c r="E4814" s="4">
        <f>977.48*(1-Z1%)</f>
        <v>977.48</v>
      </c>
      <c r="F4814" s="2">
        <v>5</v>
      </c>
      <c r="G4814" s="2"/>
    </row>
    <row r="4815" spans="1:26" customHeight="1" ht="18" hidden="true" outlineLevel="3">
      <c r="A4815" s="2" t="s">
        <v>9067</v>
      </c>
      <c r="B4815" s="3" t="s">
        <v>9068</v>
      </c>
      <c r="C4815" s="2"/>
      <c r="D4815" s="2" t="s">
        <v>16</v>
      </c>
      <c r="E4815" s="4">
        <f>799.91*(1-Z1%)</f>
        <v>799.91</v>
      </c>
      <c r="F4815" s="2">
        <v>2</v>
      </c>
      <c r="G4815" s="2"/>
    </row>
    <row r="4816" spans="1:26" customHeight="1" ht="18" hidden="true" outlineLevel="3">
      <c r="A4816" s="2" t="s">
        <v>9069</v>
      </c>
      <c r="B4816" s="3" t="s">
        <v>9070</v>
      </c>
      <c r="C4816" s="2"/>
      <c r="D4816" s="2" t="s">
        <v>16</v>
      </c>
      <c r="E4816" s="4">
        <f>1092.11*(1-Z1%)</f>
        <v>1092.11</v>
      </c>
      <c r="F4816" s="2">
        <v>2</v>
      </c>
      <c r="G4816" s="2"/>
    </row>
    <row r="4817" spans="1:26" customHeight="1" ht="18" hidden="true" outlineLevel="3">
      <c r="A4817" s="2" t="s">
        <v>9071</v>
      </c>
      <c r="B4817" s="3" t="s">
        <v>9072</v>
      </c>
      <c r="C4817" s="2"/>
      <c r="D4817" s="2" t="s">
        <v>16</v>
      </c>
      <c r="E4817" s="4">
        <f>1092.11*(1-Z1%)</f>
        <v>1092.11</v>
      </c>
      <c r="F4817" s="2">
        <v>1</v>
      </c>
      <c r="G4817" s="2"/>
    </row>
    <row r="4818" spans="1:26" customHeight="1" ht="18" hidden="true" outlineLevel="3">
      <c r="A4818" s="2" t="s">
        <v>9073</v>
      </c>
      <c r="B4818" s="3" t="s">
        <v>9074</v>
      </c>
      <c r="C4818" s="2"/>
      <c r="D4818" s="2" t="s">
        <v>16</v>
      </c>
      <c r="E4818" s="4">
        <f>712.22*(1-Z1%)</f>
        <v>712.22</v>
      </c>
      <c r="F4818" s="2">
        <v>3</v>
      </c>
      <c r="G4818" s="2"/>
    </row>
    <row r="4819" spans="1:26" customHeight="1" ht="18" hidden="true" outlineLevel="3">
      <c r="A4819" s="2" t="s">
        <v>9075</v>
      </c>
      <c r="B4819" s="3" t="s">
        <v>9076</v>
      </c>
      <c r="C4819" s="2"/>
      <c r="D4819" s="2" t="s">
        <v>16</v>
      </c>
      <c r="E4819" s="4">
        <f>976.37*(1-Z1%)</f>
        <v>976.37</v>
      </c>
      <c r="F4819" s="2">
        <v>1</v>
      </c>
      <c r="G4819" s="2"/>
    </row>
    <row r="4820" spans="1:26" customHeight="1" ht="18" hidden="true" outlineLevel="3">
      <c r="A4820" s="2" t="s">
        <v>9077</v>
      </c>
      <c r="B4820" s="3" t="s">
        <v>9078</v>
      </c>
      <c r="C4820" s="2"/>
      <c r="D4820" s="2" t="s">
        <v>16</v>
      </c>
      <c r="E4820" s="4">
        <f>725.21*(1-Z1%)</f>
        <v>725.21</v>
      </c>
      <c r="F4820" s="2">
        <v>1</v>
      </c>
      <c r="G4820" s="2"/>
    </row>
    <row r="4821" spans="1:26" customHeight="1" ht="18" hidden="true" outlineLevel="3">
      <c r="A4821" s="2" t="s">
        <v>9079</v>
      </c>
      <c r="B4821" s="3" t="s">
        <v>9080</v>
      </c>
      <c r="C4821" s="2"/>
      <c r="D4821" s="2" t="s">
        <v>16</v>
      </c>
      <c r="E4821" s="4">
        <f>1162.58*(1-Z1%)</f>
        <v>1162.58</v>
      </c>
      <c r="F4821" s="2">
        <v>1</v>
      </c>
      <c r="G4821" s="2"/>
    </row>
    <row r="4822" spans="1:26" customHeight="1" ht="18" hidden="true" outlineLevel="3">
      <c r="A4822" s="2" t="s">
        <v>9081</v>
      </c>
      <c r="B4822" s="3" t="s">
        <v>9082</v>
      </c>
      <c r="C4822" s="2"/>
      <c r="D4822" s="2" t="s">
        <v>16</v>
      </c>
      <c r="E4822" s="4">
        <f>835.59*(1-Z1%)</f>
        <v>835.59</v>
      </c>
      <c r="F4822" s="2">
        <v>3</v>
      </c>
      <c r="G4822" s="2"/>
    </row>
    <row r="4823" spans="1:26" customHeight="1" ht="18" hidden="true" outlineLevel="3">
      <c r="A4823" s="2" t="s">
        <v>9083</v>
      </c>
      <c r="B4823" s="3" t="s">
        <v>9084</v>
      </c>
      <c r="C4823" s="2"/>
      <c r="D4823" s="2" t="s">
        <v>16</v>
      </c>
      <c r="E4823" s="4">
        <f>679.05*(1-Z1%)</f>
        <v>679.05</v>
      </c>
      <c r="F4823" s="2">
        <v>1</v>
      </c>
      <c r="G4823" s="2"/>
    </row>
    <row r="4824" spans="1:26" customHeight="1" ht="18" hidden="true" outlineLevel="3">
      <c r="A4824" s="2" t="s">
        <v>9085</v>
      </c>
      <c r="B4824" s="3" t="s">
        <v>9086</v>
      </c>
      <c r="C4824" s="2"/>
      <c r="D4824" s="2" t="s">
        <v>16</v>
      </c>
      <c r="E4824" s="4">
        <f>679.05*(1-Z1%)</f>
        <v>679.05</v>
      </c>
      <c r="F4824" s="2">
        <v>1</v>
      </c>
      <c r="G4824" s="2"/>
    </row>
    <row r="4825" spans="1:26" customHeight="1" ht="18" hidden="true" outlineLevel="3">
      <c r="A4825" s="2" t="s">
        <v>9087</v>
      </c>
      <c r="B4825" s="3" t="s">
        <v>9088</v>
      </c>
      <c r="C4825" s="2"/>
      <c r="D4825" s="2" t="s">
        <v>16</v>
      </c>
      <c r="E4825" s="4">
        <f>776.89*(1-Z1%)</f>
        <v>776.89</v>
      </c>
      <c r="F4825" s="2">
        <v>3</v>
      </c>
      <c r="G4825" s="2"/>
    </row>
    <row r="4826" spans="1:26" customHeight="1" ht="18" hidden="true" outlineLevel="3">
      <c r="A4826" s="2" t="s">
        <v>9089</v>
      </c>
      <c r="B4826" s="3" t="s">
        <v>9090</v>
      </c>
      <c r="C4826" s="2"/>
      <c r="D4826" s="2" t="s">
        <v>16</v>
      </c>
      <c r="E4826" s="4">
        <f>776.89*(1-Z1%)</f>
        <v>776.89</v>
      </c>
      <c r="F4826" s="2">
        <v>2</v>
      </c>
      <c r="G4826" s="2"/>
    </row>
    <row r="4827" spans="1:26" customHeight="1" ht="18" hidden="true" outlineLevel="3">
      <c r="A4827" s="2" t="s">
        <v>9091</v>
      </c>
      <c r="B4827" s="3" t="s">
        <v>9092</v>
      </c>
      <c r="C4827" s="2"/>
      <c r="D4827" s="2" t="s">
        <v>16</v>
      </c>
      <c r="E4827" s="4">
        <f>566.06*(1-Z1%)</f>
        <v>566.06</v>
      </c>
      <c r="F4827" s="2">
        <v>2</v>
      </c>
      <c r="G4827" s="2"/>
    </row>
    <row r="4828" spans="1:26" customHeight="1" ht="18" hidden="true" outlineLevel="3">
      <c r="A4828" s="2" t="s">
        <v>9093</v>
      </c>
      <c r="B4828" s="3" t="s">
        <v>9094</v>
      </c>
      <c r="C4828" s="2"/>
      <c r="D4828" s="2" t="s">
        <v>16</v>
      </c>
      <c r="E4828" s="4">
        <f>566.06*(1-Z1%)</f>
        <v>566.06</v>
      </c>
      <c r="F4828" s="2">
        <v>2</v>
      </c>
      <c r="G4828" s="2"/>
    </row>
    <row r="4829" spans="1:26" customHeight="1" ht="36" hidden="true" outlineLevel="3">
      <c r="A4829" s="2" t="s">
        <v>9095</v>
      </c>
      <c r="B4829" s="3" t="s">
        <v>9096</v>
      </c>
      <c r="C4829" s="2"/>
      <c r="D4829" s="2" t="s">
        <v>16</v>
      </c>
      <c r="E4829" s="4">
        <f>980.06*(1-Z1%)</f>
        <v>980.06</v>
      </c>
      <c r="F4829" s="2">
        <v>1</v>
      </c>
      <c r="G4829" s="2"/>
    </row>
    <row r="4830" spans="1:26" customHeight="1" ht="36" hidden="true" outlineLevel="3">
      <c r="A4830" s="2" t="s">
        <v>9097</v>
      </c>
      <c r="B4830" s="3" t="s">
        <v>9098</v>
      </c>
      <c r="C4830" s="2"/>
      <c r="D4830" s="2" t="s">
        <v>16</v>
      </c>
      <c r="E4830" s="4">
        <f>1100.39*(1-Z1%)</f>
        <v>1100.39</v>
      </c>
      <c r="F4830" s="2">
        <v>1</v>
      </c>
      <c r="G4830" s="2"/>
    </row>
    <row r="4831" spans="1:26" customHeight="1" ht="36" hidden="true" outlineLevel="3">
      <c r="A4831" s="2" t="s">
        <v>9099</v>
      </c>
      <c r="B4831" s="3" t="s">
        <v>9100</v>
      </c>
      <c r="C4831" s="2"/>
      <c r="D4831" s="2" t="s">
        <v>16</v>
      </c>
      <c r="E4831" s="4">
        <f>641.08*(1-Z1%)</f>
        <v>641.08</v>
      </c>
      <c r="F4831" s="2">
        <v>1</v>
      </c>
      <c r="G4831" s="2"/>
    </row>
    <row r="4832" spans="1:26" customHeight="1" ht="18" hidden="true" outlineLevel="3">
      <c r="A4832" s="2" t="s">
        <v>9101</v>
      </c>
      <c r="B4832" s="3" t="s">
        <v>9102</v>
      </c>
      <c r="C4832" s="2"/>
      <c r="D4832" s="2" t="s">
        <v>16</v>
      </c>
      <c r="E4832" s="4">
        <f>691.47*(1-Z1%)</f>
        <v>691.47</v>
      </c>
      <c r="F4832" s="2">
        <v>1</v>
      </c>
      <c r="G4832" s="2"/>
    </row>
    <row r="4833" spans="1:26" customHeight="1" ht="36" hidden="true" outlineLevel="3">
      <c r="A4833" s="2" t="s">
        <v>9103</v>
      </c>
      <c r="B4833" s="3" t="s">
        <v>9104</v>
      </c>
      <c r="C4833" s="2"/>
      <c r="D4833" s="2" t="s">
        <v>16</v>
      </c>
      <c r="E4833" s="4">
        <f>931.10*(1-Z1%)</f>
        <v>931.1</v>
      </c>
      <c r="F4833" s="2">
        <v>2</v>
      </c>
      <c r="G4833" s="2"/>
    </row>
    <row r="4834" spans="1:26" customHeight="1" ht="18" hidden="true" outlineLevel="3">
      <c r="A4834" s="2" t="s">
        <v>9105</v>
      </c>
      <c r="B4834" s="3" t="s">
        <v>9106</v>
      </c>
      <c r="C4834" s="2"/>
      <c r="D4834" s="2" t="s">
        <v>16</v>
      </c>
      <c r="E4834" s="4">
        <f>1144.48*(1-Z1%)</f>
        <v>1144.48</v>
      </c>
      <c r="F4834" s="2">
        <v>3</v>
      </c>
      <c r="G4834" s="2"/>
    </row>
    <row r="4835" spans="1:26" customHeight="1" ht="18" hidden="true" outlineLevel="3">
      <c r="A4835" s="2" t="s">
        <v>9107</v>
      </c>
      <c r="B4835" s="3" t="s">
        <v>9108</v>
      </c>
      <c r="C4835" s="2"/>
      <c r="D4835" s="2" t="s">
        <v>16</v>
      </c>
      <c r="E4835" s="4">
        <f>749.69*(1-Z1%)</f>
        <v>749.69</v>
      </c>
      <c r="F4835" s="2">
        <v>3</v>
      </c>
      <c r="G4835" s="2"/>
    </row>
    <row r="4836" spans="1:26" customHeight="1" ht="36" hidden="true" outlineLevel="3">
      <c r="A4836" s="2" t="s">
        <v>9109</v>
      </c>
      <c r="B4836" s="3" t="s">
        <v>9110</v>
      </c>
      <c r="C4836" s="2"/>
      <c r="D4836" s="2" t="s">
        <v>16</v>
      </c>
      <c r="E4836" s="4">
        <f>939.25*(1-Z1%)</f>
        <v>939.25</v>
      </c>
      <c r="F4836" s="2">
        <v>2</v>
      </c>
      <c r="G4836" s="2"/>
    </row>
    <row r="4837" spans="1:26" customHeight="1" ht="36" hidden="true" outlineLevel="3">
      <c r="A4837" s="2" t="s">
        <v>9111</v>
      </c>
      <c r="B4837" s="3" t="s">
        <v>9112</v>
      </c>
      <c r="C4837" s="2"/>
      <c r="D4837" s="2" t="s">
        <v>16</v>
      </c>
      <c r="E4837" s="4">
        <f>875.37*(1-Z1%)</f>
        <v>875.37</v>
      </c>
      <c r="F4837" s="2">
        <v>4</v>
      </c>
      <c r="G4837" s="2"/>
    </row>
    <row r="4838" spans="1:26" customHeight="1" ht="18" hidden="true" outlineLevel="3">
      <c r="A4838" s="2" t="s">
        <v>9113</v>
      </c>
      <c r="B4838" s="3" t="s">
        <v>9114</v>
      </c>
      <c r="C4838" s="2"/>
      <c r="D4838" s="2" t="s">
        <v>16</v>
      </c>
      <c r="E4838" s="4">
        <f>717.21*(1-Z1%)</f>
        <v>717.21</v>
      </c>
      <c r="F4838" s="2">
        <v>1</v>
      </c>
      <c r="G4838" s="2"/>
    </row>
    <row r="4839" spans="1:26" customHeight="1" ht="18" hidden="true" outlineLevel="3">
      <c r="A4839" s="2" t="s">
        <v>9115</v>
      </c>
      <c r="B4839" s="3" t="s">
        <v>9116</v>
      </c>
      <c r="C4839" s="2"/>
      <c r="D4839" s="2" t="s">
        <v>16</v>
      </c>
      <c r="E4839" s="4">
        <f>872.91*(1-Z1%)</f>
        <v>872.91</v>
      </c>
      <c r="F4839" s="2">
        <v>2</v>
      </c>
      <c r="G4839" s="2"/>
    </row>
    <row r="4840" spans="1:26" customHeight="1" ht="18" hidden="true" outlineLevel="3">
      <c r="A4840" s="2" t="s">
        <v>9117</v>
      </c>
      <c r="B4840" s="3" t="s">
        <v>9118</v>
      </c>
      <c r="C4840" s="2"/>
      <c r="D4840" s="2" t="s">
        <v>16</v>
      </c>
      <c r="E4840" s="4">
        <f>638.78*(1-Z1%)</f>
        <v>638.78</v>
      </c>
      <c r="F4840" s="2">
        <v>3</v>
      </c>
      <c r="G4840" s="2"/>
    </row>
    <row r="4841" spans="1:26" customHeight="1" ht="18" hidden="true" outlineLevel="3">
      <c r="A4841" s="2" t="s">
        <v>9119</v>
      </c>
      <c r="B4841" s="3" t="s">
        <v>9120</v>
      </c>
      <c r="C4841" s="2"/>
      <c r="D4841" s="2" t="s">
        <v>16</v>
      </c>
      <c r="E4841" s="4">
        <f>638.78*(1-Z1%)</f>
        <v>638.78</v>
      </c>
      <c r="F4841" s="2">
        <v>3</v>
      </c>
      <c r="G4841" s="2"/>
    </row>
    <row r="4842" spans="1:26" customHeight="1" ht="18" hidden="true" outlineLevel="3">
      <c r="A4842" s="2" t="s">
        <v>9121</v>
      </c>
      <c r="B4842" s="3" t="s">
        <v>9122</v>
      </c>
      <c r="C4842" s="2"/>
      <c r="D4842" s="2" t="s">
        <v>16</v>
      </c>
      <c r="E4842" s="4">
        <f>638.78*(1-Z1%)</f>
        <v>638.78</v>
      </c>
      <c r="F4842" s="2">
        <v>4</v>
      </c>
      <c r="G4842" s="2"/>
    </row>
    <row r="4843" spans="1:26" customHeight="1" ht="18" hidden="true" outlineLevel="3">
      <c r="A4843" s="2" t="s">
        <v>9123</v>
      </c>
      <c r="B4843" s="3" t="s">
        <v>9124</v>
      </c>
      <c r="C4843" s="2"/>
      <c r="D4843" s="2" t="s">
        <v>16</v>
      </c>
      <c r="E4843" s="4">
        <f>814.28*(1-Z1%)</f>
        <v>814.28</v>
      </c>
      <c r="F4843" s="2">
        <v>1</v>
      </c>
      <c r="G4843" s="2"/>
    </row>
    <row r="4844" spans="1:26" customHeight="1" ht="18" hidden="true" outlineLevel="3">
      <c r="A4844" s="2" t="s">
        <v>9125</v>
      </c>
      <c r="B4844" s="3" t="s">
        <v>9126</v>
      </c>
      <c r="C4844" s="2"/>
      <c r="D4844" s="2" t="s">
        <v>16</v>
      </c>
      <c r="E4844" s="4">
        <f>814.28*(1-Z1%)</f>
        <v>814.28</v>
      </c>
      <c r="F4844" s="2">
        <v>1</v>
      </c>
      <c r="G4844" s="2"/>
    </row>
    <row r="4845" spans="1:26" customHeight="1" ht="18" hidden="true" outlineLevel="3">
      <c r="A4845" s="2" t="s">
        <v>9127</v>
      </c>
      <c r="B4845" s="3" t="s">
        <v>9128</v>
      </c>
      <c r="C4845" s="2"/>
      <c r="D4845" s="2" t="s">
        <v>16</v>
      </c>
      <c r="E4845" s="4">
        <f>641.42*(1-Z1%)</f>
        <v>641.42</v>
      </c>
      <c r="F4845" s="2">
        <v>1</v>
      </c>
      <c r="G4845" s="2"/>
    </row>
    <row r="4846" spans="1:26" customHeight="1" ht="36" hidden="true" outlineLevel="3">
      <c r="A4846" s="2" t="s">
        <v>9129</v>
      </c>
      <c r="B4846" s="3" t="s">
        <v>9130</v>
      </c>
      <c r="C4846" s="2"/>
      <c r="D4846" s="2" t="s">
        <v>16</v>
      </c>
      <c r="E4846" s="4">
        <f>799.88*(1-Z1%)</f>
        <v>799.88</v>
      </c>
      <c r="F4846" s="2">
        <v>1</v>
      </c>
      <c r="G4846" s="2"/>
    </row>
    <row r="4847" spans="1:26" customHeight="1" ht="18" hidden="true" outlineLevel="3">
      <c r="A4847" s="2" t="s">
        <v>9131</v>
      </c>
      <c r="B4847" s="3" t="s">
        <v>9132</v>
      </c>
      <c r="C4847" s="2"/>
      <c r="D4847" s="2" t="s">
        <v>16</v>
      </c>
      <c r="E4847" s="4">
        <f>746.54*(1-Z1%)</f>
        <v>746.54</v>
      </c>
      <c r="F4847" s="2">
        <v>1</v>
      </c>
      <c r="G4847" s="2"/>
    </row>
    <row r="4848" spans="1:26" customHeight="1" ht="18" hidden="true" outlineLevel="3">
      <c r="A4848" s="2" t="s">
        <v>9133</v>
      </c>
      <c r="B4848" s="3" t="s">
        <v>9134</v>
      </c>
      <c r="C4848" s="2"/>
      <c r="D4848" s="2" t="s">
        <v>16</v>
      </c>
      <c r="E4848" s="4">
        <f>863.21*(1-Z1%)</f>
        <v>863.21</v>
      </c>
      <c r="F4848" s="2">
        <v>4</v>
      </c>
      <c r="G4848" s="2"/>
    </row>
    <row r="4849" spans="1:26" customHeight="1" ht="18" hidden="true" outlineLevel="3">
      <c r="A4849" s="2" t="s">
        <v>9135</v>
      </c>
      <c r="B4849" s="3" t="s">
        <v>9136</v>
      </c>
      <c r="C4849" s="2"/>
      <c r="D4849" s="2" t="s">
        <v>16</v>
      </c>
      <c r="E4849" s="4">
        <f>774.63*(1-Z1%)</f>
        <v>774.63</v>
      </c>
      <c r="F4849" s="2">
        <v>1</v>
      </c>
      <c r="G4849" s="2"/>
    </row>
    <row r="4850" spans="1:26" customHeight="1" ht="36" hidden="true" outlineLevel="3">
      <c r="A4850" s="2" t="s">
        <v>9137</v>
      </c>
      <c r="B4850" s="3" t="s">
        <v>9138</v>
      </c>
      <c r="C4850" s="2"/>
      <c r="D4850" s="2" t="s">
        <v>16</v>
      </c>
      <c r="E4850" s="4">
        <f>774.63*(1-Z1%)</f>
        <v>774.63</v>
      </c>
      <c r="F4850" s="2">
        <v>2</v>
      </c>
      <c r="G4850" s="2"/>
    </row>
    <row r="4851" spans="1:26" customHeight="1" ht="18" hidden="true" outlineLevel="3">
      <c r="A4851" s="2" t="s">
        <v>9139</v>
      </c>
      <c r="B4851" s="3" t="s">
        <v>9140</v>
      </c>
      <c r="C4851" s="2"/>
      <c r="D4851" s="2" t="s">
        <v>16</v>
      </c>
      <c r="E4851" s="4">
        <f>837.89*(1-Z1%)</f>
        <v>837.89</v>
      </c>
      <c r="F4851" s="2">
        <v>4</v>
      </c>
      <c r="G4851" s="2"/>
    </row>
    <row r="4852" spans="1:26" customHeight="1" ht="35" hidden="true" outlineLevel="3">
      <c r="A4852" s="5" t="s">
        <v>9141</v>
      </c>
      <c r="B4852" s="5"/>
      <c r="C4852" s="5"/>
      <c r="D4852" s="5"/>
      <c r="E4852" s="5"/>
      <c r="F4852" s="5"/>
      <c r="G4852" s="5"/>
    </row>
    <row r="4853" spans="1:26" customHeight="1" ht="36" hidden="true" outlineLevel="3">
      <c r="A4853" s="2" t="s">
        <v>9142</v>
      </c>
      <c r="B4853" s="3" t="s">
        <v>9143</v>
      </c>
      <c r="C4853" s="2"/>
      <c r="D4853" s="2" t="s">
        <v>16</v>
      </c>
      <c r="E4853" s="4">
        <f>1193.44*(1-Z1%)</f>
        <v>1193.44</v>
      </c>
      <c r="F4853" s="2">
        <v>1</v>
      </c>
      <c r="G4853" s="2"/>
    </row>
    <row r="4854" spans="1:26" customHeight="1" ht="36" hidden="true" outlineLevel="3">
      <c r="A4854" s="2" t="s">
        <v>9144</v>
      </c>
      <c r="B4854" s="3" t="s">
        <v>9145</v>
      </c>
      <c r="C4854" s="2"/>
      <c r="D4854" s="2" t="s">
        <v>16</v>
      </c>
      <c r="E4854" s="4">
        <f>890.39*(1-Z1%)</f>
        <v>890.39</v>
      </c>
      <c r="F4854" s="2">
        <v>4</v>
      </c>
      <c r="G4854" s="2"/>
    </row>
    <row r="4855" spans="1:26" customHeight="1" ht="18" hidden="true" outlineLevel="3">
      <c r="A4855" s="2" t="s">
        <v>9146</v>
      </c>
      <c r="B4855" s="3" t="s">
        <v>9147</v>
      </c>
      <c r="C4855" s="2"/>
      <c r="D4855" s="2" t="s">
        <v>16</v>
      </c>
      <c r="E4855" s="4">
        <f>972.23*(1-Z1%)</f>
        <v>972.23</v>
      </c>
      <c r="F4855" s="2">
        <v>1</v>
      </c>
      <c r="G4855" s="2"/>
    </row>
    <row r="4856" spans="1:26" customHeight="1" ht="36" hidden="true" outlineLevel="3">
      <c r="A4856" s="2" t="s">
        <v>9148</v>
      </c>
      <c r="B4856" s="3" t="s">
        <v>9149</v>
      </c>
      <c r="C4856" s="2"/>
      <c r="D4856" s="2" t="s">
        <v>16</v>
      </c>
      <c r="E4856" s="4">
        <f>857.92*(1-Z1%)</f>
        <v>857.92</v>
      </c>
      <c r="F4856" s="2">
        <v>3</v>
      </c>
      <c r="G4856" s="2"/>
    </row>
    <row r="4857" spans="1:26" customHeight="1" ht="36" hidden="true" outlineLevel="3">
      <c r="A4857" s="2" t="s">
        <v>9150</v>
      </c>
      <c r="B4857" s="3" t="s">
        <v>9151</v>
      </c>
      <c r="C4857" s="2"/>
      <c r="D4857" s="2" t="s">
        <v>16</v>
      </c>
      <c r="E4857" s="4">
        <f>857.92*(1-Z1%)</f>
        <v>857.92</v>
      </c>
      <c r="F4857" s="2">
        <v>1</v>
      </c>
      <c r="G4857" s="2"/>
    </row>
    <row r="4858" spans="1:26" customHeight="1" ht="36" hidden="true" outlineLevel="3">
      <c r="A4858" s="2" t="s">
        <v>9152</v>
      </c>
      <c r="B4858" s="3" t="s">
        <v>9153</v>
      </c>
      <c r="C4858" s="2"/>
      <c r="D4858" s="2" t="s">
        <v>16</v>
      </c>
      <c r="E4858" s="4">
        <f>833.86*(1-Z1%)</f>
        <v>833.86</v>
      </c>
      <c r="F4858" s="2">
        <v>2</v>
      </c>
      <c r="G4858" s="2"/>
    </row>
    <row r="4859" spans="1:26" customHeight="1" ht="36" hidden="true" outlineLevel="3">
      <c r="A4859" s="2" t="s">
        <v>9154</v>
      </c>
      <c r="B4859" s="3" t="s">
        <v>9155</v>
      </c>
      <c r="C4859" s="2"/>
      <c r="D4859" s="2" t="s">
        <v>16</v>
      </c>
      <c r="E4859" s="4">
        <f>822.43*(1-Z1%)</f>
        <v>822.43</v>
      </c>
      <c r="F4859" s="2">
        <v>2</v>
      </c>
      <c r="G4859" s="2"/>
    </row>
    <row r="4860" spans="1:26" customHeight="1" ht="36" hidden="true" outlineLevel="3">
      <c r="A4860" s="2" t="s">
        <v>9156</v>
      </c>
      <c r="B4860" s="3" t="s">
        <v>9157</v>
      </c>
      <c r="C4860" s="2"/>
      <c r="D4860" s="2" t="s">
        <v>16</v>
      </c>
      <c r="E4860" s="4">
        <f>743.89*(1-Z1%)</f>
        <v>743.89</v>
      </c>
      <c r="F4860" s="2">
        <v>1</v>
      </c>
      <c r="G4860" s="2"/>
    </row>
    <row r="4861" spans="1:26" customHeight="1" ht="36" hidden="true" outlineLevel="3">
      <c r="A4861" s="2" t="s">
        <v>9158</v>
      </c>
      <c r="B4861" s="3" t="s">
        <v>9159</v>
      </c>
      <c r="C4861" s="2"/>
      <c r="D4861" s="2" t="s">
        <v>16</v>
      </c>
      <c r="E4861" s="4">
        <f>806.81*(1-Z1%)</f>
        <v>806.81</v>
      </c>
      <c r="F4861" s="2">
        <v>4</v>
      </c>
      <c r="G4861" s="2"/>
    </row>
    <row r="4862" spans="1:26" customHeight="1" ht="36" hidden="true" outlineLevel="3">
      <c r="A4862" s="2" t="s">
        <v>9160</v>
      </c>
      <c r="B4862" s="3" t="s">
        <v>9161</v>
      </c>
      <c r="C4862" s="2"/>
      <c r="D4862" s="2" t="s">
        <v>16</v>
      </c>
      <c r="E4862" s="4">
        <f>824.08*(1-Z1%)</f>
        <v>824.08</v>
      </c>
      <c r="F4862" s="2">
        <v>2</v>
      </c>
      <c r="G4862" s="2"/>
    </row>
    <row r="4863" spans="1:26" customHeight="1" ht="36" hidden="true" outlineLevel="3">
      <c r="A4863" s="2" t="s">
        <v>9162</v>
      </c>
      <c r="B4863" s="3" t="s">
        <v>9163</v>
      </c>
      <c r="C4863" s="2"/>
      <c r="D4863" s="2" t="s">
        <v>16</v>
      </c>
      <c r="E4863" s="4">
        <f>604.25*(1-Z1%)</f>
        <v>604.25</v>
      </c>
      <c r="F4863" s="2">
        <v>6</v>
      </c>
      <c r="G4863" s="2"/>
    </row>
    <row r="4864" spans="1:26" customHeight="1" ht="36" hidden="true" outlineLevel="3">
      <c r="A4864" s="2" t="s">
        <v>9164</v>
      </c>
      <c r="B4864" s="3" t="s">
        <v>9165</v>
      </c>
      <c r="C4864" s="2"/>
      <c r="D4864" s="2" t="s">
        <v>16</v>
      </c>
      <c r="E4864" s="4">
        <f>952.98*(1-Z1%)</f>
        <v>952.98</v>
      </c>
      <c r="F4864" s="2">
        <v>3</v>
      </c>
      <c r="G4864" s="2"/>
    </row>
    <row r="4865" spans="1:26" customHeight="1" ht="36" hidden="true" outlineLevel="3">
      <c r="A4865" s="2" t="s">
        <v>9166</v>
      </c>
      <c r="B4865" s="3" t="s">
        <v>9167</v>
      </c>
      <c r="C4865" s="2"/>
      <c r="D4865" s="2" t="s">
        <v>16</v>
      </c>
      <c r="E4865" s="4">
        <f>654.89*(1-Z1%)</f>
        <v>654.89</v>
      </c>
      <c r="F4865" s="2">
        <v>9</v>
      </c>
      <c r="G4865" s="2"/>
    </row>
    <row r="4866" spans="1:26" customHeight="1" ht="36" hidden="true" outlineLevel="3">
      <c r="A4866" s="2" t="s">
        <v>9168</v>
      </c>
      <c r="B4866" s="3" t="s">
        <v>9169</v>
      </c>
      <c r="C4866" s="2"/>
      <c r="D4866" s="2" t="s">
        <v>16</v>
      </c>
      <c r="E4866" s="4">
        <f>654.89*(1-Z1%)</f>
        <v>654.89</v>
      </c>
      <c r="F4866" s="2">
        <v>8</v>
      </c>
      <c r="G4866" s="2"/>
    </row>
    <row r="4867" spans="1:26" customHeight="1" ht="36" hidden="true" outlineLevel="3">
      <c r="A4867" s="2" t="s">
        <v>9170</v>
      </c>
      <c r="B4867" s="3" t="s">
        <v>9171</v>
      </c>
      <c r="C4867" s="2"/>
      <c r="D4867" s="2" t="s">
        <v>16</v>
      </c>
      <c r="E4867" s="4">
        <f>566.27*(1-Z1%)</f>
        <v>566.27</v>
      </c>
      <c r="F4867" s="2">
        <v>3</v>
      </c>
      <c r="G4867" s="2"/>
    </row>
    <row r="4868" spans="1:26" customHeight="1" ht="36" hidden="true" outlineLevel="3">
      <c r="A4868" s="2" t="s">
        <v>9172</v>
      </c>
      <c r="B4868" s="3" t="s">
        <v>9173</v>
      </c>
      <c r="C4868" s="2"/>
      <c r="D4868" s="2" t="s">
        <v>16</v>
      </c>
      <c r="E4868" s="4">
        <f>720.50*(1-Z1%)</f>
        <v>720.5</v>
      </c>
      <c r="F4868" s="2">
        <v>2</v>
      </c>
      <c r="G4868" s="2"/>
    </row>
    <row r="4869" spans="1:26" customHeight="1" ht="36" hidden="true" outlineLevel="3">
      <c r="A4869" s="2" t="s">
        <v>9174</v>
      </c>
      <c r="B4869" s="3" t="s">
        <v>9175</v>
      </c>
      <c r="C4869" s="2"/>
      <c r="D4869" s="2" t="s">
        <v>16</v>
      </c>
      <c r="E4869" s="4">
        <f>784.95*(1-Z1%)</f>
        <v>784.95</v>
      </c>
      <c r="F4869" s="2">
        <v>3</v>
      </c>
      <c r="G4869" s="2"/>
    </row>
    <row r="4870" spans="1:26" customHeight="1" ht="36" hidden="true" outlineLevel="3">
      <c r="A4870" s="2" t="s">
        <v>9176</v>
      </c>
      <c r="B4870" s="3" t="s">
        <v>9177</v>
      </c>
      <c r="C4870" s="2"/>
      <c r="D4870" s="2" t="s">
        <v>16</v>
      </c>
      <c r="E4870" s="4">
        <f>578.42*(1-Z1%)</f>
        <v>578.42</v>
      </c>
      <c r="F4870" s="2">
        <v>1</v>
      </c>
      <c r="G4870" s="2"/>
    </row>
    <row r="4871" spans="1:26" customHeight="1" ht="18" hidden="true" outlineLevel="3">
      <c r="A4871" s="2" t="s">
        <v>9178</v>
      </c>
      <c r="B4871" s="3" t="s">
        <v>9179</v>
      </c>
      <c r="C4871" s="2"/>
      <c r="D4871" s="2" t="s">
        <v>16</v>
      </c>
      <c r="E4871" s="4">
        <f>479.78*(1-Z1%)</f>
        <v>479.78</v>
      </c>
      <c r="F4871" s="2">
        <v>3</v>
      </c>
      <c r="G4871" s="2"/>
    </row>
    <row r="4872" spans="1:26" customHeight="1" ht="18" hidden="true" outlineLevel="3">
      <c r="A4872" s="2" t="s">
        <v>9180</v>
      </c>
      <c r="B4872" s="3" t="s">
        <v>9181</v>
      </c>
      <c r="C4872" s="2"/>
      <c r="D4872" s="2" t="s">
        <v>16</v>
      </c>
      <c r="E4872" s="4">
        <f>605.47*(1-Z1%)</f>
        <v>605.47</v>
      </c>
      <c r="F4872" s="2">
        <v>2</v>
      </c>
      <c r="G4872" s="2"/>
    </row>
    <row r="4873" spans="1:26" customHeight="1" ht="18" hidden="true" outlineLevel="3">
      <c r="A4873" s="2" t="s">
        <v>9182</v>
      </c>
      <c r="B4873" s="3" t="s">
        <v>9183</v>
      </c>
      <c r="C4873" s="2"/>
      <c r="D4873" s="2" t="s">
        <v>16</v>
      </c>
      <c r="E4873" s="4">
        <f>890.41*(1-Z1%)</f>
        <v>890.41</v>
      </c>
      <c r="F4873" s="2">
        <v>2</v>
      </c>
      <c r="G4873" s="2"/>
    </row>
    <row r="4874" spans="1:26" customHeight="1" ht="18" hidden="true" outlineLevel="3">
      <c r="A4874" s="2" t="s">
        <v>9184</v>
      </c>
      <c r="B4874" s="3" t="s">
        <v>9185</v>
      </c>
      <c r="C4874" s="2"/>
      <c r="D4874" s="2" t="s">
        <v>16</v>
      </c>
      <c r="E4874" s="4">
        <f>754.78*(1-Z1%)</f>
        <v>754.78</v>
      </c>
      <c r="F4874" s="2">
        <v>2</v>
      </c>
      <c r="G4874" s="2"/>
    </row>
    <row r="4875" spans="1:26" customHeight="1" ht="18" hidden="true" outlineLevel="3">
      <c r="A4875" s="2" t="s">
        <v>9186</v>
      </c>
      <c r="B4875" s="3" t="s">
        <v>9187</v>
      </c>
      <c r="C4875" s="2"/>
      <c r="D4875" s="2" t="s">
        <v>16</v>
      </c>
      <c r="E4875" s="4">
        <f>838.63*(1-Z1%)</f>
        <v>838.63</v>
      </c>
      <c r="F4875" s="2">
        <v>3</v>
      </c>
      <c r="G4875" s="2"/>
    </row>
    <row r="4876" spans="1:26" customHeight="1" ht="18" hidden="true" outlineLevel="3">
      <c r="A4876" s="2" t="s">
        <v>9188</v>
      </c>
      <c r="B4876" s="3" t="s">
        <v>9189</v>
      </c>
      <c r="C4876" s="2"/>
      <c r="D4876" s="2" t="s">
        <v>16</v>
      </c>
      <c r="E4876" s="4">
        <f>724.19*(1-Z1%)</f>
        <v>724.19</v>
      </c>
      <c r="F4876" s="2">
        <v>2</v>
      </c>
      <c r="G4876" s="2"/>
    </row>
    <row r="4877" spans="1:26" customHeight="1" ht="18" hidden="true" outlineLevel="3">
      <c r="A4877" s="2" t="s">
        <v>9190</v>
      </c>
      <c r="B4877" s="3" t="s">
        <v>9191</v>
      </c>
      <c r="C4877" s="2"/>
      <c r="D4877" s="2" t="s">
        <v>16</v>
      </c>
      <c r="E4877" s="4">
        <f>1085.63*(1-Z1%)</f>
        <v>1085.63</v>
      </c>
      <c r="F4877" s="2">
        <v>1</v>
      </c>
      <c r="G4877" s="2"/>
    </row>
    <row r="4878" spans="1:26" customHeight="1" ht="18" hidden="true" outlineLevel="3">
      <c r="A4878" s="2" t="s">
        <v>9192</v>
      </c>
      <c r="B4878" s="3" t="s">
        <v>9193</v>
      </c>
      <c r="C4878" s="2"/>
      <c r="D4878" s="2" t="s">
        <v>16</v>
      </c>
      <c r="E4878" s="4">
        <f>1085.63*(1-Z1%)</f>
        <v>1085.63</v>
      </c>
      <c r="F4878" s="2">
        <v>1</v>
      </c>
      <c r="G4878" s="2"/>
    </row>
    <row r="4879" spans="1:26" customHeight="1" ht="18" hidden="true" outlineLevel="3">
      <c r="A4879" s="2" t="s">
        <v>9194</v>
      </c>
      <c r="B4879" s="3" t="s">
        <v>9195</v>
      </c>
      <c r="C4879" s="2"/>
      <c r="D4879" s="2" t="s">
        <v>16</v>
      </c>
      <c r="E4879" s="4">
        <f>937.57*(1-Z1%)</f>
        <v>937.57</v>
      </c>
      <c r="F4879" s="2">
        <v>1</v>
      </c>
      <c r="G4879" s="2"/>
    </row>
    <row r="4880" spans="1:26" customHeight="1" ht="18" hidden="true" outlineLevel="3">
      <c r="A4880" s="2" t="s">
        <v>9196</v>
      </c>
      <c r="B4880" s="3" t="s">
        <v>9197</v>
      </c>
      <c r="C4880" s="2"/>
      <c r="D4880" s="2" t="s">
        <v>16</v>
      </c>
      <c r="E4880" s="4">
        <f>831.53*(1-Z1%)</f>
        <v>831.53</v>
      </c>
      <c r="F4880" s="2">
        <v>1</v>
      </c>
      <c r="G4880" s="2"/>
    </row>
    <row r="4881" spans="1:26" customHeight="1" ht="18" hidden="true" outlineLevel="3">
      <c r="A4881" s="2" t="s">
        <v>9198</v>
      </c>
      <c r="B4881" s="3" t="s">
        <v>9199</v>
      </c>
      <c r="C4881" s="2"/>
      <c r="D4881" s="2" t="s">
        <v>16</v>
      </c>
      <c r="E4881" s="4">
        <f>859.75*(1-Z1%)</f>
        <v>859.75</v>
      </c>
      <c r="F4881" s="2">
        <v>4</v>
      </c>
      <c r="G4881" s="2"/>
    </row>
    <row r="4882" spans="1:26" customHeight="1" ht="18" hidden="true" outlineLevel="3">
      <c r="A4882" s="2" t="s">
        <v>9200</v>
      </c>
      <c r="B4882" s="3" t="s">
        <v>9201</v>
      </c>
      <c r="C4882" s="2"/>
      <c r="D4882" s="2" t="s">
        <v>16</v>
      </c>
      <c r="E4882" s="4">
        <f>978.75*(1-Z1%)</f>
        <v>978.75</v>
      </c>
      <c r="F4882" s="2">
        <v>3</v>
      </c>
      <c r="G4882" s="2"/>
    </row>
    <row r="4883" spans="1:26" customHeight="1" ht="18" hidden="true" outlineLevel="3">
      <c r="A4883" s="2" t="s">
        <v>9202</v>
      </c>
      <c r="B4883" s="3" t="s">
        <v>9203</v>
      </c>
      <c r="C4883" s="2"/>
      <c r="D4883" s="2" t="s">
        <v>16</v>
      </c>
      <c r="E4883" s="4">
        <f>664.70*(1-Z1%)</f>
        <v>664.7</v>
      </c>
      <c r="F4883" s="2">
        <v>1</v>
      </c>
      <c r="G4883" s="2"/>
    </row>
    <row r="4884" spans="1:26" customHeight="1" ht="18" hidden="true" outlineLevel="3">
      <c r="A4884" s="2" t="s">
        <v>9204</v>
      </c>
      <c r="B4884" s="3" t="s">
        <v>9205</v>
      </c>
      <c r="C4884" s="2"/>
      <c r="D4884" s="2" t="s">
        <v>16</v>
      </c>
      <c r="E4884" s="4">
        <f>604.69*(1-Z1%)</f>
        <v>604.69</v>
      </c>
      <c r="F4884" s="2">
        <v>2</v>
      </c>
      <c r="G4884" s="2"/>
    </row>
    <row r="4885" spans="1:26" customHeight="1" ht="18" hidden="true" outlineLevel="3">
      <c r="A4885" s="2" t="s">
        <v>9206</v>
      </c>
      <c r="B4885" s="3" t="s">
        <v>9207</v>
      </c>
      <c r="C4885" s="2"/>
      <c r="D4885" s="2" t="s">
        <v>16</v>
      </c>
      <c r="E4885" s="4">
        <f>919.47*(1-Z1%)</f>
        <v>919.47</v>
      </c>
      <c r="F4885" s="2">
        <v>2</v>
      </c>
      <c r="G4885" s="2"/>
    </row>
    <row r="4886" spans="1:26" customHeight="1" ht="18" hidden="true" outlineLevel="3">
      <c r="A4886" s="2" t="s">
        <v>9208</v>
      </c>
      <c r="B4886" s="3" t="s">
        <v>9209</v>
      </c>
      <c r="C4886" s="2"/>
      <c r="D4886" s="2" t="s">
        <v>16</v>
      </c>
      <c r="E4886" s="4">
        <f>919.47*(1-Z1%)</f>
        <v>919.47</v>
      </c>
      <c r="F4886" s="2">
        <v>1</v>
      </c>
      <c r="G4886" s="2"/>
    </row>
    <row r="4887" spans="1:26" customHeight="1" ht="36" hidden="true" outlineLevel="3">
      <c r="A4887" s="2" t="s">
        <v>9210</v>
      </c>
      <c r="B4887" s="3" t="s">
        <v>9211</v>
      </c>
      <c r="C4887" s="2"/>
      <c r="D4887" s="2" t="s">
        <v>16</v>
      </c>
      <c r="E4887" s="4">
        <f>919.47*(1-Z1%)</f>
        <v>919.47</v>
      </c>
      <c r="F4887" s="2">
        <v>3</v>
      </c>
      <c r="G4887" s="2"/>
    </row>
    <row r="4888" spans="1:26" customHeight="1" ht="36" hidden="true" outlineLevel="3">
      <c r="A4888" s="2" t="s">
        <v>9212</v>
      </c>
      <c r="B4888" s="3" t="s">
        <v>9213</v>
      </c>
      <c r="C4888" s="2"/>
      <c r="D4888" s="2" t="s">
        <v>16</v>
      </c>
      <c r="E4888" s="4">
        <f>549.61*(1-Z1%)</f>
        <v>549.61</v>
      </c>
      <c r="F4888" s="2">
        <v>2</v>
      </c>
      <c r="G4888" s="2"/>
    </row>
    <row r="4889" spans="1:26" customHeight="1" ht="36" hidden="true" outlineLevel="3">
      <c r="A4889" s="2" t="s">
        <v>9214</v>
      </c>
      <c r="B4889" s="3" t="s">
        <v>9215</v>
      </c>
      <c r="C4889" s="2"/>
      <c r="D4889" s="2" t="s">
        <v>16</v>
      </c>
      <c r="E4889" s="4">
        <f>928.15*(1-Z1%)</f>
        <v>928.15</v>
      </c>
      <c r="F4889" s="2">
        <v>3</v>
      </c>
      <c r="G4889" s="2"/>
    </row>
    <row r="4890" spans="1:26" customHeight="1" ht="36" hidden="true" outlineLevel="3">
      <c r="A4890" s="2" t="s">
        <v>9216</v>
      </c>
      <c r="B4890" s="3" t="s">
        <v>9217</v>
      </c>
      <c r="C4890" s="2"/>
      <c r="D4890" s="2" t="s">
        <v>16</v>
      </c>
      <c r="E4890" s="4">
        <f>850.74*(1-Z1%)</f>
        <v>850.74</v>
      </c>
      <c r="F4890" s="2">
        <v>3</v>
      </c>
      <c r="G4890" s="2"/>
    </row>
    <row r="4891" spans="1:26" customHeight="1" ht="36" hidden="true" outlineLevel="3">
      <c r="A4891" s="2" t="s">
        <v>9218</v>
      </c>
      <c r="B4891" s="3" t="s">
        <v>9219</v>
      </c>
      <c r="C4891" s="2"/>
      <c r="D4891" s="2" t="s">
        <v>16</v>
      </c>
      <c r="E4891" s="4">
        <f>945.56*(1-Z1%)</f>
        <v>945.56</v>
      </c>
      <c r="F4891" s="2">
        <v>3</v>
      </c>
      <c r="G4891" s="2"/>
    </row>
    <row r="4892" spans="1:26" customHeight="1" ht="36" hidden="true" outlineLevel="3">
      <c r="A4892" s="2" t="s">
        <v>9220</v>
      </c>
      <c r="B4892" s="3" t="s">
        <v>9221</v>
      </c>
      <c r="C4892" s="2"/>
      <c r="D4892" s="2" t="s">
        <v>16</v>
      </c>
      <c r="E4892" s="4">
        <f>442.89*(1-Z1%)</f>
        <v>442.89</v>
      </c>
      <c r="F4892" s="2">
        <v>2</v>
      </c>
      <c r="G4892" s="2"/>
    </row>
    <row r="4893" spans="1:26" customHeight="1" ht="36" hidden="true" outlineLevel="3">
      <c r="A4893" s="2" t="s">
        <v>9222</v>
      </c>
      <c r="B4893" s="3" t="s">
        <v>9223</v>
      </c>
      <c r="C4893" s="2"/>
      <c r="D4893" s="2" t="s">
        <v>16</v>
      </c>
      <c r="E4893" s="4">
        <f>442.89*(1-Z1%)</f>
        <v>442.89</v>
      </c>
      <c r="F4893" s="2">
        <v>2</v>
      </c>
      <c r="G4893" s="2"/>
    </row>
    <row r="4894" spans="1:26" customHeight="1" ht="36" hidden="true" outlineLevel="3">
      <c r="A4894" s="2" t="s">
        <v>9224</v>
      </c>
      <c r="B4894" s="3" t="s">
        <v>9225</v>
      </c>
      <c r="C4894" s="2"/>
      <c r="D4894" s="2" t="s">
        <v>16</v>
      </c>
      <c r="E4894" s="4">
        <f>442.89*(1-Z1%)</f>
        <v>442.89</v>
      </c>
      <c r="F4894" s="2">
        <v>2</v>
      </c>
      <c r="G4894" s="2"/>
    </row>
    <row r="4895" spans="1:26" customHeight="1" ht="36" hidden="true" outlineLevel="3">
      <c r="A4895" s="2" t="s">
        <v>9226</v>
      </c>
      <c r="B4895" s="3" t="s">
        <v>9227</v>
      </c>
      <c r="C4895" s="2"/>
      <c r="D4895" s="2" t="s">
        <v>16</v>
      </c>
      <c r="E4895" s="4">
        <f>448.02*(1-Z1%)</f>
        <v>448.02</v>
      </c>
      <c r="F4895" s="2">
        <v>2</v>
      </c>
      <c r="G4895" s="2"/>
    </row>
    <row r="4896" spans="1:26" customHeight="1" ht="18" hidden="true" outlineLevel="3">
      <c r="A4896" s="2" t="s">
        <v>9228</v>
      </c>
      <c r="B4896" s="3" t="s">
        <v>9229</v>
      </c>
      <c r="C4896" s="2"/>
      <c r="D4896" s="2" t="s">
        <v>16</v>
      </c>
      <c r="E4896" s="4">
        <f>459.99*(1-Z1%)</f>
        <v>459.99</v>
      </c>
      <c r="F4896" s="2">
        <v>3</v>
      </c>
      <c r="G4896" s="2"/>
    </row>
    <row r="4897" spans="1:26" customHeight="1" ht="18" hidden="true" outlineLevel="3">
      <c r="A4897" s="2" t="s">
        <v>9230</v>
      </c>
      <c r="B4897" s="3" t="s">
        <v>9231</v>
      </c>
      <c r="C4897" s="2"/>
      <c r="D4897" s="2" t="s">
        <v>16</v>
      </c>
      <c r="E4897" s="4">
        <f>880.55*(1-Z1%)</f>
        <v>880.55</v>
      </c>
      <c r="F4897" s="2">
        <v>1</v>
      </c>
      <c r="G4897" s="2"/>
    </row>
    <row r="4898" spans="1:26" customHeight="1" ht="35" hidden="true" outlineLevel="3">
      <c r="A4898" s="5" t="s">
        <v>9232</v>
      </c>
      <c r="B4898" s="5"/>
      <c r="C4898" s="5"/>
      <c r="D4898" s="5"/>
      <c r="E4898" s="5"/>
      <c r="F4898" s="5"/>
      <c r="G4898" s="5"/>
    </row>
    <row r="4899" spans="1:26" customHeight="1" ht="18" hidden="true" outlineLevel="3">
      <c r="A4899" s="2" t="s">
        <v>9233</v>
      </c>
      <c r="B4899" s="3" t="s">
        <v>9234</v>
      </c>
      <c r="C4899" s="2"/>
      <c r="D4899" s="2" t="s">
        <v>16</v>
      </c>
      <c r="E4899" s="4">
        <f>73.75*(1-Z1%)</f>
        <v>73.75</v>
      </c>
      <c r="F4899" s="2">
        <v>5</v>
      </c>
      <c r="G4899" s="2"/>
    </row>
    <row r="4900" spans="1:26" customHeight="1" ht="18" hidden="true" outlineLevel="3">
      <c r="A4900" s="2" t="s">
        <v>9235</v>
      </c>
      <c r="B4900" s="3" t="s">
        <v>9236</v>
      </c>
      <c r="C4900" s="2"/>
      <c r="D4900" s="2" t="s">
        <v>16</v>
      </c>
      <c r="E4900" s="4">
        <f>122.86*(1-Z1%)</f>
        <v>122.86</v>
      </c>
      <c r="F4900" s="2">
        <v>15</v>
      </c>
      <c r="G4900" s="2"/>
    </row>
    <row r="4901" spans="1:26" customHeight="1" ht="18" hidden="true" outlineLevel="3">
      <c r="A4901" s="2" t="s">
        <v>9237</v>
      </c>
      <c r="B4901" s="3" t="s">
        <v>9238</v>
      </c>
      <c r="C4901" s="2"/>
      <c r="D4901" s="2" t="s">
        <v>16</v>
      </c>
      <c r="E4901" s="4">
        <f>122.86*(1-Z1%)</f>
        <v>122.86</v>
      </c>
      <c r="F4901" s="2">
        <v>14</v>
      </c>
      <c r="G4901" s="2"/>
    </row>
    <row r="4902" spans="1:26" customHeight="1" ht="18" hidden="true" outlineLevel="3">
      <c r="A4902" s="2" t="s">
        <v>9239</v>
      </c>
      <c r="B4902" s="3" t="s">
        <v>9240</v>
      </c>
      <c r="C4902" s="2"/>
      <c r="D4902" s="2" t="s">
        <v>16</v>
      </c>
      <c r="E4902" s="4">
        <f>114.45*(1-Z1%)</f>
        <v>114.45</v>
      </c>
      <c r="F4902" s="2">
        <v>12</v>
      </c>
      <c r="G4902" s="2"/>
    </row>
    <row r="4903" spans="1:26" customHeight="1" ht="18" hidden="true" outlineLevel="3">
      <c r="A4903" s="2" t="s">
        <v>9241</v>
      </c>
      <c r="B4903" s="3" t="s">
        <v>9242</v>
      </c>
      <c r="C4903" s="2"/>
      <c r="D4903" s="2" t="s">
        <v>16</v>
      </c>
      <c r="E4903" s="4">
        <f>112.80*(1-Z1%)</f>
        <v>112.8</v>
      </c>
      <c r="F4903" s="2">
        <v>19</v>
      </c>
      <c r="G4903" s="2"/>
    </row>
    <row r="4904" spans="1:26" customHeight="1" ht="18" hidden="true" outlineLevel="3">
      <c r="A4904" s="2" t="s">
        <v>9243</v>
      </c>
      <c r="B4904" s="3" t="s">
        <v>9244</v>
      </c>
      <c r="C4904" s="2"/>
      <c r="D4904" s="2" t="s">
        <v>16</v>
      </c>
      <c r="E4904" s="4">
        <f>192.96*(1-Z1%)</f>
        <v>192.96</v>
      </c>
      <c r="F4904" s="2">
        <v>13</v>
      </c>
      <c r="G4904" s="2"/>
    </row>
    <row r="4905" spans="1:26" customHeight="1" ht="18" hidden="true" outlineLevel="3">
      <c r="A4905" s="2" t="s">
        <v>9245</v>
      </c>
      <c r="B4905" s="3" t="s">
        <v>9246</v>
      </c>
      <c r="C4905" s="2"/>
      <c r="D4905" s="2" t="s">
        <v>16</v>
      </c>
      <c r="E4905" s="4">
        <f>132.12*(1-Z1%)</f>
        <v>132.12</v>
      </c>
      <c r="F4905" s="2">
        <v>9</v>
      </c>
      <c r="G4905" s="2"/>
    </row>
    <row r="4906" spans="1:26" customHeight="1" ht="18" hidden="true" outlineLevel="3">
      <c r="A4906" s="2" t="s">
        <v>9247</v>
      </c>
      <c r="B4906" s="3" t="s">
        <v>9248</v>
      </c>
      <c r="C4906" s="2"/>
      <c r="D4906" s="2" t="s">
        <v>16</v>
      </c>
      <c r="E4906" s="4">
        <f>132.12*(1-Z1%)</f>
        <v>132.12</v>
      </c>
      <c r="F4906" s="2">
        <v>7</v>
      </c>
      <c r="G4906" s="2"/>
    </row>
    <row r="4907" spans="1:26" customHeight="1" ht="18" hidden="true" outlineLevel="3">
      <c r="A4907" s="2" t="s">
        <v>9249</v>
      </c>
      <c r="B4907" s="3" t="s">
        <v>9250</v>
      </c>
      <c r="C4907" s="2"/>
      <c r="D4907" s="2" t="s">
        <v>16</v>
      </c>
      <c r="E4907" s="4">
        <f>109.40*(1-Z1%)</f>
        <v>109.4</v>
      </c>
      <c r="F4907" s="2">
        <v>17</v>
      </c>
      <c r="G4907" s="2"/>
    </row>
    <row r="4908" spans="1:26" customHeight="1" ht="18" hidden="true" outlineLevel="3">
      <c r="A4908" s="2" t="s">
        <v>9251</v>
      </c>
      <c r="B4908" s="3" t="s">
        <v>9252</v>
      </c>
      <c r="C4908" s="2"/>
      <c r="D4908" s="2" t="s">
        <v>16</v>
      </c>
      <c r="E4908" s="4">
        <f>109.40*(1-Z1%)</f>
        <v>109.4</v>
      </c>
      <c r="F4908" s="2">
        <v>25</v>
      </c>
      <c r="G4908" s="2"/>
    </row>
    <row r="4909" spans="1:26" customHeight="1" ht="18" hidden="true" outlineLevel="3">
      <c r="A4909" s="2" t="s">
        <v>9253</v>
      </c>
      <c r="B4909" s="3" t="s">
        <v>9254</v>
      </c>
      <c r="C4909" s="2"/>
      <c r="D4909" s="2" t="s">
        <v>16</v>
      </c>
      <c r="E4909" s="4">
        <f>107.10*(1-Z1%)</f>
        <v>107.1</v>
      </c>
      <c r="F4909" s="2">
        <v>11</v>
      </c>
      <c r="G4909" s="2"/>
    </row>
    <row r="4910" spans="1:26" customHeight="1" ht="18" hidden="true" outlineLevel="3">
      <c r="A4910" s="2" t="s">
        <v>9255</v>
      </c>
      <c r="B4910" s="3" t="s">
        <v>9256</v>
      </c>
      <c r="C4910" s="2"/>
      <c r="D4910" s="2" t="s">
        <v>16</v>
      </c>
      <c r="E4910" s="4">
        <f>112.90*(1-Z1%)</f>
        <v>112.9</v>
      </c>
      <c r="F4910" s="2">
        <v>2</v>
      </c>
      <c r="G4910" s="2"/>
    </row>
    <row r="4911" spans="1:26" customHeight="1" ht="18" hidden="true" outlineLevel="3">
      <c r="A4911" s="2" t="s">
        <v>9257</v>
      </c>
      <c r="B4911" s="3" t="s">
        <v>9258</v>
      </c>
      <c r="C4911" s="2"/>
      <c r="D4911" s="2" t="s">
        <v>16</v>
      </c>
      <c r="E4911" s="4">
        <f>107.10*(1-Z1%)</f>
        <v>107.1</v>
      </c>
      <c r="F4911" s="2">
        <v>14</v>
      </c>
      <c r="G4911" s="2"/>
    </row>
    <row r="4912" spans="1:26" customHeight="1" ht="18" hidden="true" outlineLevel="3">
      <c r="A4912" s="2" t="s">
        <v>9259</v>
      </c>
      <c r="B4912" s="3" t="s">
        <v>9260</v>
      </c>
      <c r="C4912" s="2"/>
      <c r="D4912" s="2" t="s">
        <v>16</v>
      </c>
      <c r="E4912" s="4">
        <f>107.77*(1-Z1%)</f>
        <v>107.77</v>
      </c>
      <c r="F4912" s="2">
        <v>10</v>
      </c>
      <c r="G4912" s="2"/>
    </row>
    <row r="4913" spans="1:26" customHeight="1" ht="18" hidden="true" outlineLevel="3">
      <c r="A4913" s="2" t="s">
        <v>9261</v>
      </c>
      <c r="B4913" s="3" t="s">
        <v>9262</v>
      </c>
      <c r="C4913" s="2"/>
      <c r="D4913" s="2" t="s">
        <v>16</v>
      </c>
      <c r="E4913" s="4">
        <f>135.49*(1-Z1%)</f>
        <v>135.49</v>
      </c>
      <c r="F4913" s="2">
        <v>1</v>
      </c>
      <c r="G4913" s="2"/>
    </row>
    <row r="4914" spans="1:26" customHeight="1" ht="18" hidden="true" outlineLevel="3">
      <c r="A4914" s="2" t="s">
        <v>9263</v>
      </c>
      <c r="B4914" s="3" t="s">
        <v>9264</v>
      </c>
      <c r="C4914" s="2"/>
      <c r="D4914" s="2" t="s">
        <v>16</v>
      </c>
      <c r="E4914" s="4">
        <f>167.73*(1-Z1%)</f>
        <v>167.73</v>
      </c>
      <c r="F4914" s="2">
        <v>2</v>
      </c>
      <c r="G4914" s="2"/>
    </row>
    <row r="4915" spans="1:26" customHeight="1" ht="18" hidden="true" outlineLevel="3">
      <c r="A4915" s="2" t="s">
        <v>9265</v>
      </c>
      <c r="B4915" s="3" t="s">
        <v>9266</v>
      </c>
      <c r="C4915" s="2"/>
      <c r="D4915" s="2" t="s">
        <v>16</v>
      </c>
      <c r="E4915" s="4">
        <f>90.52*(1-Z1%)</f>
        <v>90.52</v>
      </c>
      <c r="F4915" s="2">
        <v>15</v>
      </c>
      <c r="G4915" s="2"/>
    </row>
    <row r="4916" spans="1:26" customHeight="1" ht="18" hidden="true" outlineLevel="3">
      <c r="A4916" s="2" t="s">
        <v>9267</v>
      </c>
      <c r="B4916" s="3" t="s">
        <v>9268</v>
      </c>
      <c r="C4916" s="2"/>
      <c r="D4916" s="2" t="s">
        <v>16</v>
      </c>
      <c r="E4916" s="4">
        <f>85.32*(1-Z1%)</f>
        <v>85.32</v>
      </c>
      <c r="F4916" s="2">
        <v>8</v>
      </c>
      <c r="G4916" s="2"/>
    </row>
    <row r="4917" spans="1:26" customHeight="1" ht="18" hidden="true" outlineLevel="3">
      <c r="A4917" s="2" t="s">
        <v>9269</v>
      </c>
      <c r="B4917" s="3" t="s">
        <v>9270</v>
      </c>
      <c r="C4917" s="2"/>
      <c r="D4917" s="2" t="s">
        <v>16</v>
      </c>
      <c r="E4917" s="4">
        <f>127.74*(1-Z1%)</f>
        <v>127.74</v>
      </c>
      <c r="F4917" s="2">
        <v>8</v>
      </c>
      <c r="G4917" s="2"/>
    </row>
    <row r="4918" spans="1:26" customHeight="1" ht="18" hidden="true" outlineLevel="3">
      <c r="A4918" s="2" t="s">
        <v>9271</v>
      </c>
      <c r="B4918" s="3" t="s">
        <v>9272</v>
      </c>
      <c r="C4918" s="2"/>
      <c r="D4918" s="2" t="s">
        <v>16</v>
      </c>
      <c r="E4918" s="4">
        <f>127.74*(1-Z1%)</f>
        <v>127.74</v>
      </c>
      <c r="F4918" s="2">
        <v>2</v>
      </c>
      <c r="G4918" s="2"/>
    </row>
    <row r="4919" spans="1:26" customHeight="1" ht="18" hidden="true" outlineLevel="3">
      <c r="A4919" s="2" t="s">
        <v>9273</v>
      </c>
      <c r="B4919" s="3" t="s">
        <v>9274</v>
      </c>
      <c r="C4919" s="2"/>
      <c r="D4919" s="2" t="s">
        <v>16</v>
      </c>
      <c r="E4919" s="4">
        <f>93.11*(1-Z1%)</f>
        <v>93.11</v>
      </c>
      <c r="F4919" s="2">
        <v>7</v>
      </c>
      <c r="G4919" s="2"/>
    </row>
    <row r="4920" spans="1:26" customHeight="1" ht="18" hidden="true" outlineLevel="3">
      <c r="A4920" s="2" t="s">
        <v>9275</v>
      </c>
      <c r="B4920" s="3" t="s">
        <v>9276</v>
      </c>
      <c r="C4920" s="2"/>
      <c r="D4920" s="2" t="s">
        <v>16</v>
      </c>
      <c r="E4920" s="4">
        <f>122.45*(1-Z1%)</f>
        <v>122.45</v>
      </c>
      <c r="F4920" s="2">
        <v>4</v>
      </c>
      <c r="G4920" s="2"/>
    </row>
    <row r="4921" spans="1:26" customHeight="1" ht="18" hidden="true" outlineLevel="3">
      <c r="A4921" s="2" t="s">
        <v>9277</v>
      </c>
      <c r="B4921" s="3" t="s">
        <v>9278</v>
      </c>
      <c r="C4921" s="2"/>
      <c r="D4921" s="2" t="s">
        <v>16</v>
      </c>
      <c r="E4921" s="4">
        <f>120.86*(1-Z1%)</f>
        <v>120.86</v>
      </c>
      <c r="F4921" s="2">
        <v>11</v>
      </c>
      <c r="G4921" s="2"/>
    </row>
    <row r="4922" spans="1:26" customHeight="1" ht="18" hidden="true" outlineLevel="3">
      <c r="A4922" s="2" t="s">
        <v>9279</v>
      </c>
      <c r="B4922" s="3" t="s">
        <v>9280</v>
      </c>
      <c r="C4922" s="2"/>
      <c r="D4922" s="2" t="s">
        <v>16</v>
      </c>
      <c r="E4922" s="4">
        <f>95.54*(1-Z1%)</f>
        <v>95.54</v>
      </c>
      <c r="F4922" s="2">
        <v>15</v>
      </c>
      <c r="G4922" s="2"/>
    </row>
    <row r="4923" spans="1:26" customHeight="1" ht="18" hidden="true" outlineLevel="3">
      <c r="A4923" s="2" t="s">
        <v>9281</v>
      </c>
      <c r="B4923" s="3" t="s">
        <v>9282</v>
      </c>
      <c r="C4923" s="2"/>
      <c r="D4923" s="2" t="s">
        <v>16</v>
      </c>
      <c r="E4923" s="4">
        <f>90.17*(1-Z1%)</f>
        <v>90.17</v>
      </c>
      <c r="F4923" s="2">
        <v>26</v>
      </c>
      <c r="G4923" s="2"/>
    </row>
    <row r="4924" spans="1:26" customHeight="1" ht="18" hidden="true" outlineLevel="3">
      <c r="A4924" s="2" t="s">
        <v>9283</v>
      </c>
      <c r="B4924" s="3" t="s">
        <v>9284</v>
      </c>
      <c r="C4924" s="2"/>
      <c r="D4924" s="2" t="s">
        <v>16</v>
      </c>
      <c r="E4924" s="4">
        <f>182.68*(1-Z1%)</f>
        <v>182.68</v>
      </c>
      <c r="F4924" s="2">
        <v>18</v>
      </c>
      <c r="G4924" s="2"/>
    </row>
    <row r="4925" spans="1:26" customHeight="1" ht="18" hidden="true" outlineLevel="3">
      <c r="A4925" s="2" t="s">
        <v>9285</v>
      </c>
      <c r="B4925" s="3" t="s">
        <v>9286</v>
      </c>
      <c r="C4925" s="2"/>
      <c r="D4925" s="2" t="s">
        <v>16</v>
      </c>
      <c r="E4925" s="4">
        <f>122.76*(1-Z1%)</f>
        <v>122.76</v>
      </c>
      <c r="F4925" s="2">
        <v>23</v>
      </c>
      <c r="G4925" s="2"/>
    </row>
    <row r="4926" spans="1:26" customHeight="1" ht="18" hidden="true" outlineLevel="3">
      <c r="A4926" s="2" t="s">
        <v>9287</v>
      </c>
      <c r="B4926" s="3" t="s">
        <v>9288</v>
      </c>
      <c r="C4926" s="2"/>
      <c r="D4926" s="2" t="s">
        <v>16</v>
      </c>
      <c r="E4926" s="4">
        <f>122.76*(1-Z1%)</f>
        <v>122.76</v>
      </c>
      <c r="F4926" s="2">
        <v>19</v>
      </c>
      <c r="G4926" s="2"/>
    </row>
    <row r="4927" spans="1:26" customHeight="1" ht="18" hidden="true" outlineLevel="3">
      <c r="A4927" s="2" t="s">
        <v>9289</v>
      </c>
      <c r="B4927" s="3" t="s">
        <v>9290</v>
      </c>
      <c r="C4927" s="2"/>
      <c r="D4927" s="2" t="s">
        <v>16</v>
      </c>
      <c r="E4927" s="4">
        <f>144.73*(1-Z1%)</f>
        <v>144.73</v>
      </c>
      <c r="F4927" s="2">
        <v>1</v>
      </c>
      <c r="G4927" s="2"/>
    </row>
    <row r="4928" spans="1:26" customHeight="1" ht="18" hidden="true" outlineLevel="3">
      <c r="A4928" s="2" t="s">
        <v>9291</v>
      </c>
      <c r="B4928" s="3" t="s">
        <v>9292</v>
      </c>
      <c r="C4928" s="2"/>
      <c r="D4928" s="2" t="s">
        <v>16</v>
      </c>
      <c r="E4928" s="4">
        <f>105.70*(1-Z1%)</f>
        <v>105.7</v>
      </c>
      <c r="F4928" s="2">
        <v>27</v>
      </c>
      <c r="G4928" s="2"/>
    </row>
    <row r="4929" spans="1:26" customHeight="1" ht="18" hidden="true" outlineLevel="3">
      <c r="A4929" s="2" t="s">
        <v>9293</v>
      </c>
      <c r="B4929" s="3" t="s">
        <v>9294</v>
      </c>
      <c r="C4929" s="2"/>
      <c r="D4929" s="2" t="s">
        <v>16</v>
      </c>
      <c r="E4929" s="4">
        <f>75.80*(1-Z1%)</f>
        <v>75.8</v>
      </c>
      <c r="F4929" s="2">
        <v>30</v>
      </c>
      <c r="G4929" s="2"/>
    </row>
    <row r="4930" spans="1:26" customHeight="1" ht="18" hidden="true" outlineLevel="3">
      <c r="A4930" s="2" t="s">
        <v>9295</v>
      </c>
      <c r="B4930" s="3" t="s">
        <v>9296</v>
      </c>
      <c r="C4930" s="2"/>
      <c r="D4930" s="2" t="s">
        <v>16</v>
      </c>
      <c r="E4930" s="4">
        <f>148.73*(1-Z1%)</f>
        <v>148.73</v>
      </c>
      <c r="F4930" s="2">
        <v>7</v>
      </c>
      <c r="G4930" s="2"/>
    </row>
    <row r="4931" spans="1:26" customHeight="1" ht="18" hidden="true" outlineLevel="3">
      <c r="A4931" s="2" t="s">
        <v>9297</v>
      </c>
      <c r="B4931" s="3" t="s">
        <v>9298</v>
      </c>
      <c r="C4931" s="2"/>
      <c r="D4931" s="2" t="s">
        <v>16</v>
      </c>
      <c r="E4931" s="4">
        <f>95.54*(1-Z1%)</f>
        <v>95.54</v>
      </c>
      <c r="F4931" s="2">
        <v>13</v>
      </c>
      <c r="G4931" s="2"/>
    </row>
    <row r="4932" spans="1:26" customHeight="1" ht="18" hidden="true" outlineLevel="3">
      <c r="A4932" s="2" t="s">
        <v>9299</v>
      </c>
      <c r="B4932" s="3" t="s">
        <v>9300</v>
      </c>
      <c r="C4932" s="2"/>
      <c r="D4932" s="2" t="s">
        <v>16</v>
      </c>
      <c r="E4932" s="4">
        <f>95.54*(1-Z1%)</f>
        <v>95.54</v>
      </c>
      <c r="F4932" s="2">
        <v>23</v>
      </c>
      <c r="G4932" s="2"/>
    </row>
    <row r="4933" spans="1:26" customHeight="1" ht="18" hidden="true" outlineLevel="3">
      <c r="A4933" s="2" t="s">
        <v>9301</v>
      </c>
      <c r="B4933" s="3" t="s">
        <v>9302</v>
      </c>
      <c r="C4933" s="2"/>
      <c r="D4933" s="2" t="s">
        <v>16</v>
      </c>
      <c r="E4933" s="4">
        <f>58.37*(1-Z1%)</f>
        <v>58.37</v>
      </c>
      <c r="F4933" s="2">
        <v>16</v>
      </c>
      <c r="G4933" s="2"/>
    </row>
    <row r="4934" spans="1:26" customHeight="1" ht="18" hidden="true" outlineLevel="3">
      <c r="A4934" s="2" t="s">
        <v>9303</v>
      </c>
      <c r="B4934" s="3" t="s">
        <v>9304</v>
      </c>
      <c r="C4934" s="2"/>
      <c r="D4934" s="2" t="s">
        <v>16</v>
      </c>
      <c r="E4934" s="4">
        <f>138.49*(1-Z1%)</f>
        <v>138.49</v>
      </c>
      <c r="F4934" s="2">
        <v>12</v>
      </c>
      <c r="G4934" s="2"/>
    </row>
    <row r="4935" spans="1:26" customHeight="1" ht="18" hidden="true" outlineLevel="3">
      <c r="A4935" s="2" t="s">
        <v>9305</v>
      </c>
      <c r="B4935" s="3" t="s">
        <v>9306</v>
      </c>
      <c r="C4935" s="2"/>
      <c r="D4935" s="2" t="s">
        <v>16</v>
      </c>
      <c r="E4935" s="4">
        <f>138.49*(1-Z1%)</f>
        <v>138.49</v>
      </c>
      <c r="F4935" s="2">
        <v>15</v>
      </c>
      <c r="G4935" s="2"/>
    </row>
    <row r="4936" spans="1:26" customHeight="1" ht="18" hidden="true" outlineLevel="3">
      <c r="A4936" s="2" t="s">
        <v>9307</v>
      </c>
      <c r="B4936" s="3" t="s">
        <v>9308</v>
      </c>
      <c r="C4936" s="2"/>
      <c r="D4936" s="2" t="s">
        <v>16</v>
      </c>
      <c r="E4936" s="4">
        <f>144.86*(1-Z1%)</f>
        <v>144.86</v>
      </c>
      <c r="F4936" s="2">
        <v>11</v>
      </c>
      <c r="G4936" s="2"/>
    </row>
    <row r="4937" spans="1:26" customHeight="1" ht="18" hidden="true" outlineLevel="3">
      <c r="A4937" s="2" t="s">
        <v>9309</v>
      </c>
      <c r="B4937" s="3" t="s">
        <v>9310</v>
      </c>
      <c r="C4937" s="2"/>
      <c r="D4937" s="2" t="s">
        <v>16</v>
      </c>
      <c r="E4937" s="4">
        <f>95.54*(1-Z1%)</f>
        <v>95.54</v>
      </c>
      <c r="F4937" s="2">
        <v>20</v>
      </c>
      <c r="G4937" s="2"/>
    </row>
    <row r="4938" spans="1:26" customHeight="1" ht="18" hidden="true" outlineLevel="3">
      <c r="A4938" s="2" t="s">
        <v>9311</v>
      </c>
      <c r="B4938" s="3" t="s">
        <v>9312</v>
      </c>
      <c r="C4938" s="2"/>
      <c r="D4938" s="2" t="s">
        <v>16</v>
      </c>
      <c r="E4938" s="4">
        <f>95.54*(1-Z1%)</f>
        <v>95.54</v>
      </c>
      <c r="F4938" s="2">
        <v>2</v>
      </c>
      <c r="G4938" s="2"/>
    </row>
    <row r="4939" spans="1:26" customHeight="1" ht="18" hidden="true" outlineLevel="3">
      <c r="A4939" s="2" t="s">
        <v>9313</v>
      </c>
      <c r="B4939" s="3" t="s">
        <v>9314</v>
      </c>
      <c r="C4939" s="2"/>
      <c r="D4939" s="2" t="s">
        <v>16</v>
      </c>
      <c r="E4939" s="4">
        <f>128.03*(1-Z1%)</f>
        <v>128.03</v>
      </c>
      <c r="F4939" s="2">
        <v>6</v>
      </c>
      <c r="G4939" s="2"/>
    </row>
    <row r="4940" spans="1:26" customHeight="1" ht="18" hidden="true" outlineLevel="3">
      <c r="A4940" s="2" t="s">
        <v>9315</v>
      </c>
      <c r="B4940" s="3" t="s">
        <v>9316</v>
      </c>
      <c r="C4940" s="2"/>
      <c r="D4940" s="2" t="s">
        <v>16</v>
      </c>
      <c r="E4940" s="4">
        <f>121.61*(1-Z1%)</f>
        <v>121.61</v>
      </c>
      <c r="F4940" s="2">
        <v>11</v>
      </c>
      <c r="G4940" s="2"/>
    </row>
    <row r="4941" spans="1:26" customHeight="1" ht="18" hidden="true" outlineLevel="3">
      <c r="A4941" s="2" t="s">
        <v>9317</v>
      </c>
      <c r="B4941" s="3" t="s">
        <v>9318</v>
      </c>
      <c r="C4941" s="2"/>
      <c r="D4941" s="2" t="s">
        <v>16</v>
      </c>
      <c r="E4941" s="4">
        <f>118.56*(1-Z1%)</f>
        <v>118.56</v>
      </c>
      <c r="F4941" s="2">
        <v>9</v>
      </c>
      <c r="G4941" s="2"/>
    </row>
    <row r="4942" spans="1:26" customHeight="1" ht="18" hidden="true" outlineLevel="3">
      <c r="A4942" s="2" t="s">
        <v>9319</v>
      </c>
      <c r="B4942" s="3" t="s">
        <v>9320</v>
      </c>
      <c r="C4942" s="2"/>
      <c r="D4942" s="2" t="s">
        <v>16</v>
      </c>
      <c r="E4942" s="4">
        <f>108.53*(1-Z1%)</f>
        <v>108.53</v>
      </c>
      <c r="F4942" s="2">
        <v>11</v>
      </c>
      <c r="G4942" s="2"/>
    </row>
    <row r="4943" spans="1:26" customHeight="1" ht="18" hidden="true" outlineLevel="3">
      <c r="A4943" s="2" t="s">
        <v>9321</v>
      </c>
      <c r="B4943" s="3" t="s">
        <v>9322</v>
      </c>
      <c r="C4943" s="2"/>
      <c r="D4943" s="2" t="s">
        <v>16</v>
      </c>
      <c r="E4943" s="4">
        <f>120.00*(1-Z1%)</f>
        <v>120</v>
      </c>
      <c r="F4943" s="2">
        <v>4</v>
      </c>
      <c r="G4943" s="2"/>
    </row>
    <row r="4944" spans="1:26" customHeight="1" ht="18" hidden="true" outlineLevel="3">
      <c r="A4944" s="2" t="s">
        <v>9323</v>
      </c>
      <c r="B4944" s="3" t="s">
        <v>9324</v>
      </c>
      <c r="C4944" s="2"/>
      <c r="D4944" s="2" t="s">
        <v>16</v>
      </c>
      <c r="E4944" s="4">
        <f>120.00*(1-Z1%)</f>
        <v>120</v>
      </c>
      <c r="F4944" s="2">
        <v>3</v>
      </c>
      <c r="G4944" s="2"/>
    </row>
    <row r="4945" spans="1:26" customHeight="1" ht="18" hidden="true" outlineLevel="3">
      <c r="A4945" s="2" t="s">
        <v>9325</v>
      </c>
      <c r="B4945" s="3" t="s">
        <v>9326</v>
      </c>
      <c r="C4945" s="2"/>
      <c r="D4945" s="2" t="s">
        <v>16</v>
      </c>
      <c r="E4945" s="4">
        <f>98.21*(1-Z1%)</f>
        <v>98.21</v>
      </c>
      <c r="F4945" s="2">
        <v>7</v>
      </c>
      <c r="G4945" s="2"/>
    </row>
    <row r="4946" spans="1:26" customHeight="1" ht="18" hidden="true" outlineLevel="3">
      <c r="A4946" s="2" t="s">
        <v>9327</v>
      </c>
      <c r="B4946" s="3" t="s">
        <v>9328</v>
      </c>
      <c r="C4946" s="2"/>
      <c r="D4946" s="2" t="s">
        <v>16</v>
      </c>
      <c r="E4946" s="4">
        <f>99.32*(1-Z1%)</f>
        <v>99.32</v>
      </c>
      <c r="F4946" s="2">
        <v>20</v>
      </c>
      <c r="G4946" s="2"/>
    </row>
    <row r="4947" spans="1:26" customHeight="1" ht="18" hidden="true" outlineLevel="3">
      <c r="A4947" s="2" t="s">
        <v>9329</v>
      </c>
      <c r="B4947" s="3" t="s">
        <v>9330</v>
      </c>
      <c r="C4947" s="2"/>
      <c r="D4947" s="2" t="s">
        <v>16</v>
      </c>
      <c r="E4947" s="4">
        <f>105.87*(1-Z1%)</f>
        <v>105.87</v>
      </c>
      <c r="F4947" s="2">
        <v>16</v>
      </c>
      <c r="G4947" s="2"/>
    </row>
    <row r="4948" spans="1:26" customHeight="1" ht="18" hidden="true" outlineLevel="3">
      <c r="A4948" s="2" t="s">
        <v>9331</v>
      </c>
      <c r="B4948" s="3" t="s">
        <v>9332</v>
      </c>
      <c r="C4948" s="2"/>
      <c r="D4948" s="2" t="s">
        <v>16</v>
      </c>
      <c r="E4948" s="4">
        <f>105.87*(1-Z1%)</f>
        <v>105.87</v>
      </c>
      <c r="F4948" s="2">
        <v>10</v>
      </c>
      <c r="G4948" s="2"/>
    </row>
    <row r="4949" spans="1:26" customHeight="1" ht="18" hidden="true" outlineLevel="3">
      <c r="A4949" s="2" t="s">
        <v>9333</v>
      </c>
      <c r="B4949" s="3" t="s">
        <v>9334</v>
      </c>
      <c r="C4949" s="2"/>
      <c r="D4949" s="2" t="s">
        <v>16</v>
      </c>
      <c r="E4949" s="4">
        <f>72.88*(1-Z1%)</f>
        <v>72.88</v>
      </c>
      <c r="F4949" s="2">
        <v>4</v>
      </c>
      <c r="G4949" s="2"/>
    </row>
    <row r="4950" spans="1:26" customHeight="1" ht="18" hidden="true" outlineLevel="3">
      <c r="A4950" s="2" t="s">
        <v>9335</v>
      </c>
      <c r="B4950" s="3" t="s">
        <v>9336</v>
      </c>
      <c r="C4950" s="2"/>
      <c r="D4950" s="2" t="s">
        <v>16</v>
      </c>
      <c r="E4950" s="4">
        <f>57.87*(1-Z1%)</f>
        <v>57.87</v>
      </c>
      <c r="F4950" s="2">
        <v>50</v>
      </c>
      <c r="G4950" s="2"/>
    </row>
    <row r="4951" spans="1:26" customHeight="1" ht="18" hidden="true" outlineLevel="3">
      <c r="A4951" s="2" t="s">
        <v>9337</v>
      </c>
      <c r="B4951" s="3" t="s">
        <v>9338</v>
      </c>
      <c r="C4951" s="2"/>
      <c r="D4951" s="2" t="s">
        <v>16</v>
      </c>
      <c r="E4951" s="4">
        <f>77.59*(1-Z1%)</f>
        <v>77.59</v>
      </c>
      <c r="F4951" s="2">
        <v>4</v>
      </c>
      <c r="G4951" s="2"/>
    </row>
    <row r="4952" spans="1:26" customHeight="1" ht="18" hidden="true" outlineLevel="3">
      <c r="A4952" s="2" t="s">
        <v>9339</v>
      </c>
      <c r="B4952" s="3" t="s">
        <v>9340</v>
      </c>
      <c r="C4952" s="2"/>
      <c r="D4952" s="2" t="s">
        <v>16</v>
      </c>
      <c r="E4952" s="4">
        <f>58.97*(1-Z1%)</f>
        <v>58.97</v>
      </c>
      <c r="F4952" s="2">
        <v>23</v>
      </c>
      <c r="G4952" s="2"/>
    </row>
    <row r="4953" spans="1:26" customHeight="1" ht="18" hidden="true" outlineLevel="3">
      <c r="A4953" s="2" t="s">
        <v>9341</v>
      </c>
      <c r="B4953" s="3" t="s">
        <v>9342</v>
      </c>
      <c r="C4953" s="2"/>
      <c r="D4953" s="2" t="s">
        <v>16</v>
      </c>
      <c r="E4953" s="4">
        <f>58.97*(1-Z1%)</f>
        <v>58.97</v>
      </c>
      <c r="F4953" s="2">
        <v>23</v>
      </c>
      <c r="G4953" s="2"/>
    </row>
    <row r="4954" spans="1:26" customHeight="1" ht="18" hidden="true" outlineLevel="3">
      <c r="A4954" s="2" t="s">
        <v>9343</v>
      </c>
      <c r="B4954" s="3" t="s">
        <v>9344</v>
      </c>
      <c r="C4954" s="2"/>
      <c r="D4954" s="2" t="s">
        <v>16</v>
      </c>
      <c r="E4954" s="4">
        <f>52.08*(1-Z1%)</f>
        <v>52.08</v>
      </c>
      <c r="F4954" s="2">
        <v>44</v>
      </c>
      <c r="G4954" s="2"/>
    </row>
    <row r="4955" spans="1:26" customHeight="1" ht="18" hidden="true" outlineLevel="3">
      <c r="A4955" s="2" t="s">
        <v>9345</v>
      </c>
      <c r="B4955" s="3" t="s">
        <v>9346</v>
      </c>
      <c r="C4955" s="2"/>
      <c r="D4955" s="2" t="s">
        <v>16</v>
      </c>
      <c r="E4955" s="4">
        <f>48.02*(1-Z1%)</f>
        <v>48.02</v>
      </c>
      <c r="F4955" s="2">
        <v>57</v>
      </c>
      <c r="G4955" s="2"/>
    </row>
    <row r="4956" spans="1:26" customHeight="1" ht="18" hidden="true" outlineLevel="3">
      <c r="A4956" s="2" t="s">
        <v>9347</v>
      </c>
      <c r="B4956" s="3" t="s">
        <v>9348</v>
      </c>
      <c r="C4956" s="2"/>
      <c r="D4956" s="2" t="s">
        <v>16</v>
      </c>
      <c r="E4956" s="4">
        <f>69.65*(1-Z1%)</f>
        <v>69.65</v>
      </c>
      <c r="F4956" s="2">
        <v>1</v>
      </c>
      <c r="G4956" s="2"/>
    </row>
    <row r="4957" spans="1:26" customHeight="1" ht="18" hidden="true" outlineLevel="3">
      <c r="A4957" s="2" t="s">
        <v>9349</v>
      </c>
      <c r="B4957" s="3" t="s">
        <v>9350</v>
      </c>
      <c r="C4957" s="2"/>
      <c r="D4957" s="2" t="s">
        <v>16</v>
      </c>
      <c r="E4957" s="4">
        <f>83.41*(1-Z1%)</f>
        <v>83.41</v>
      </c>
      <c r="F4957" s="2">
        <v>17</v>
      </c>
      <c r="G4957" s="2"/>
    </row>
    <row r="4958" spans="1:26" customHeight="1" ht="18" hidden="true" outlineLevel="3">
      <c r="A4958" s="2" t="s">
        <v>9351</v>
      </c>
      <c r="B4958" s="3" t="s">
        <v>9352</v>
      </c>
      <c r="C4958" s="2"/>
      <c r="D4958" s="2" t="s">
        <v>16</v>
      </c>
      <c r="E4958" s="4">
        <f>87.48*(1-Z1%)</f>
        <v>87.48</v>
      </c>
      <c r="F4958" s="2">
        <v>21</v>
      </c>
      <c r="G4958" s="2"/>
    </row>
    <row r="4959" spans="1:26" customHeight="1" ht="18" hidden="true" outlineLevel="3">
      <c r="A4959" s="2" t="s">
        <v>9353</v>
      </c>
      <c r="B4959" s="3" t="s">
        <v>9354</v>
      </c>
      <c r="C4959" s="2"/>
      <c r="D4959" s="2" t="s">
        <v>16</v>
      </c>
      <c r="E4959" s="4">
        <f>98.94*(1-Z1%)</f>
        <v>98.94</v>
      </c>
      <c r="F4959" s="2">
        <v>20</v>
      </c>
      <c r="G4959" s="2"/>
    </row>
    <row r="4960" spans="1:26" customHeight="1" ht="18" hidden="true" outlineLevel="3">
      <c r="A4960" s="2" t="s">
        <v>9355</v>
      </c>
      <c r="B4960" s="3" t="s">
        <v>9356</v>
      </c>
      <c r="C4960" s="2"/>
      <c r="D4960" s="2" t="s">
        <v>16</v>
      </c>
      <c r="E4960" s="4">
        <f>98.94*(1-Z1%)</f>
        <v>98.94</v>
      </c>
      <c r="F4960" s="2">
        <v>20</v>
      </c>
      <c r="G4960" s="2"/>
    </row>
    <row r="4961" spans="1:26" customHeight="1" ht="18" hidden="true" outlineLevel="3">
      <c r="A4961" s="2" t="s">
        <v>9357</v>
      </c>
      <c r="B4961" s="3" t="s">
        <v>9358</v>
      </c>
      <c r="C4961" s="2"/>
      <c r="D4961" s="2" t="s">
        <v>16</v>
      </c>
      <c r="E4961" s="4">
        <f>94.57*(1-Z1%)</f>
        <v>94.57</v>
      </c>
      <c r="F4961" s="2">
        <v>15</v>
      </c>
      <c r="G4961" s="2"/>
    </row>
    <row r="4962" spans="1:26" customHeight="1" ht="18" hidden="true" outlineLevel="3">
      <c r="A4962" s="2" t="s">
        <v>9359</v>
      </c>
      <c r="B4962" s="3" t="s">
        <v>9360</v>
      </c>
      <c r="C4962" s="2"/>
      <c r="D4962" s="2" t="s">
        <v>16</v>
      </c>
      <c r="E4962" s="4">
        <f>94.57*(1-Z1%)</f>
        <v>94.57</v>
      </c>
      <c r="F4962" s="2">
        <v>10</v>
      </c>
      <c r="G4962" s="2"/>
    </row>
    <row r="4963" spans="1:26" customHeight="1" ht="18" hidden="true" outlineLevel="3">
      <c r="A4963" s="2" t="s">
        <v>9361</v>
      </c>
      <c r="B4963" s="3" t="s">
        <v>9362</v>
      </c>
      <c r="C4963" s="2"/>
      <c r="D4963" s="2" t="s">
        <v>16</v>
      </c>
      <c r="E4963" s="4">
        <f>95.76*(1-Z1%)</f>
        <v>95.76</v>
      </c>
      <c r="F4963" s="2">
        <v>19</v>
      </c>
      <c r="G4963" s="2"/>
    </row>
    <row r="4964" spans="1:26" customHeight="1" ht="18" hidden="true" outlineLevel="3">
      <c r="A4964" s="2" t="s">
        <v>9363</v>
      </c>
      <c r="B4964" s="3" t="s">
        <v>9364</v>
      </c>
      <c r="C4964" s="2"/>
      <c r="D4964" s="2" t="s">
        <v>16</v>
      </c>
      <c r="E4964" s="4">
        <f>92.08*(1-Z1%)</f>
        <v>92.08</v>
      </c>
      <c r="F4964" s="2">
        <v>21</v>
      </c>
      <c r="G4964" s="2"/>
    </row>
    <row r="4965" spans="1:26" customHeight="1" ht="18" hidden="true" outlineLevel="3">
      <c r="A4965" s="2" t="s">
        <v>9365</v>
      </c>
      <c r="B4965" s="3" t="s">
        <v>9366</v>
      </c>
      <c r="C4965" s="2"/>
      <c r="D4965" s="2" t="s">
        <v>16</v>
      </c>
      <c r="E4965" s="4">
        <f>92.08*(1-Z1%)</f>
        <v>92.08</v>
      </c>
      <c r="F4965" s="2">
        <v>21</v>
      </c>
      <c r="G4965" s="2"/>
    </row>
    <row r="4966" spans="1:26" customHeight="1" ht="18" hidden="true" outlineLevel="3">
      <c r="A4966" s="2" t="s">
        <v>9367</v>
      </c>
      <c r="B4966" s="3" t="s">
        <v>9368</v>
      </c>
      <c r="C4966" s="2"/>
      <c r="D4966" s="2" t="s">
        <v>16</v>
      </c>
      <c r="E4966" s="4">
        <f>104.75*(1-Z1%)</f>
        <v>104.75</v>
      </c>
      <c r="F4966" s="2">
        <v>1</v>
      </c>
      <c r="G4966" s="2"/>
    </row>
    <row r="4967" spans="1:26" customHeight="1" ht="18" hidden="true" outlineLevel="3">
      <c r="A4967" s="2" t="s">
        <v>9369</v>
      </c>
      <c r="B4967" s="3" t="s">
        <v>9370</v>
      </c>
      <c r="C4967" s="2"/>
      <c r="D4967" s="2" t="s">
        <v>16</v>
      </c>
      <c r="E4967" s="4">
        <f>104.75*(1-Z1%)</f>
        <v>104.75</v>
      </c>
      <c r="F4967" s="2">
        <v>1</v>
      </c>
      <c r="G4967" s="2"/>
    </row>
    <row r="4968" spans="1:26" customHeight="1" ht="18" hidden="true" outlineLevel="3">
      <c r="A4968" s="2" t="s">
        <v>9371</v>
      </c>
      <c r="B4968" s="3" t="s">
        <v>9372</v>
      </c>
      <c r="C4968" s="2"/>
      <c r="D4968" s="2" t="s">
        <v>16</v>
      </c>
      <c r="E4968" s="4">
        <f>109.93*(1-Z1%)</f>
        <v>109.93</v>
      </c>
      <c r="F4968" s="2">
        <v>6</v>
      </c>
      <c r="G4968" s="2"/>
    </row>
    <row r="4969" spans="1:26" customHeight="1" ht="18" hidden="true" outlineLevel="3">
      <c r="A4969" s="2" t="s">
        <v>9373</v>
      </c>
      <c r="B4969" s="3" t="s">
        <v>9374</v>
      </c>
      <c r="C4969" s="2"/>
      <c r="D4969" s="2" t="s">
        <v>16</v>
      </c>
      <c r="E4969" s="4">
        <f>80.58*(1-Z1%)</f>
        <v>80.58</v>
      </c>
      <c r="F4969" s="2">
        <v>23</v>
      </c>
      <c r="G4969" s="2"/>
    </row>
    <row r="4970" spans="1:26" customHeight="1" ht="18" hidden="true" outlineLevel="3">
      <c r="A4970" s="2" t="s">
        <v>9375</v>
      </c>
      <c r="B4970" s="3" t="s">
        <v>9376</v>
      </c>
      <c r="C4970" s="2"/>
      <c r="D4970" s="2" t="s">
        <v>16</v>
      </c>
      <c r="E4970" s="4">
        <f>80.58*(1-Z1%)</f>
        <v>80.58</v>
      </c>
      <c r="F4970" s="2">
        <v>18</v>
      </c>
      <c r="G4970" s="2"/>
    </row>
    <row r="4971" spans="1:26" customHeight="1" ht="18" hidden="true" outlineLevel="3">
      <c r="A4971" s="2" t="s">
        <v>9377</v>
      </c>
      <c r="B4971" s="3" t="s">
        <v>9378</v>
      </c>
      <c r="C4971" s="2"/>
      <c r="D4971" s="2" t="s">
        <v>16</v>
      </c>
      <c r="E4971" s="4">
        <f>136.77*(1-Z1%)</f>
        <v>136.77</v>
      </c>
      <c r="F4971" s="2">
        <v>6</v>
      </c>
      <c r="G4971" s="2"/>
    </row>
    <row r="4972" spans="1:26" customHeight="1" ht="18" hidden="true" outlineLevel="3">
      <c r="A4972" s="2" t="s">
        <v>9379</v>
      </c>
      <c r="B4972" s="3" t="s">
        <v>9380</v>
      </c>
      <c r="C4972" s="2"/>
      <c r="D4972" s="2" t="s">
        <v>16</v>
      </c>
      <c r="E4972" s="4">
        <f>99.32*(1-Z1%)</f>
        <v>99.32</v>
      </c>
      <c r="F4972" s="2">
        <v>43</v>
      </c>
      <c r="G4972" s="2"/>
    </row>
    <row r="4973" spans="1:26" customHeight="1" ht="18" hidden="true" outlineLevel="3">
      <c r="A4973" s="2" t="s">
        <v>9381</v>
      </c>
      <c r="B4973" s="3" t="s">
        <v>9382</v>
      </c>
      <c r="C4973" s="2"/>
      <c r="D4973" s="2" t="s">
        <v>16</v>
      </c>
      <c r="E4973" s="4">
        <f>154.23*(1-Z1%)</f>
        <v>154.23</v>
      </c>
      <c r="F4973" s="2">
        <v>27</v>
      </c>
      <c r="G4973" s="2"/>
    </row>
    <row r="4974" spans="1:26" customHeight="1" ht="18" hidden="true" outlineLevel="3">
      <c r="A4974" s="2" t="s">
        <v>9383</v>
      </c>
      <c r="B4974" s="3" t="s">
        <v>9384</v>
      </c>
      <c r="C4974" s="2"/>
      <c r="D4974" s="2" t="s">
        <v>16</v>
      </c>
      <c r="E4974" s="4">
        <f>154.23*(1-Z1%)</f>
        <v>154.23</v>
      </c>
      <c r="F4974" s="2">
        <v>11</v>
      </c>
      <c r="G4974" s="2"/>
    </row>
    <row r="4975" spans="1:26" customHeight="1" ht="18" hidden="true" outlineLevel="3">
      <c r="A4975" s="2" t="s">
        <v>9385</v>
      </c>
      <c r="B4975" s="3" t="s">
        <v>9386</v>
      </c>
      <c r="C4975" s="2"/>
      <c r="D4975" s="2" t="s">
        <v>16</v>
      </c>
      <c r="E4975" s="4">
        <f>127.57*(1-Z1%)</f>
        <v>127.57</v>
      </c>
      <c r="F4975" s="2">
        <v>2</v>
      </c>
      <c r="G4975" s="2"/>
    </row>
    <row r="4976" spans="1:26" customHeight="1" ht="18" hidden="true" outlineLevel="3">
      <c r="A4976" s="2" t="s">
        <v>9387</v>
      </c>
      <c r="B4976" s="3" t="s">
        <v>9388</v>
      </c>
      <c r="C4976" s="2"/>
      <c r="D4976" s="2" t="s">
        <v>16</v>
      </c>
      <c r="E4976" s="4">
        <f>138.38*(1-Z1%)</f>
        <v>138.38</v>
      </c>
      <c r="F4976" s="2">
        <v>13</v>
      </c>
      <c r="G4976" s="2"/>
    </row>
    <row r="4977" spans="1:26" customHeight="1" ht="18" hidden="true" outlineLevel="3">
      <c r="A4977" s="2" t="s">
        <v>9389</v>
      </c>
      <c r="B4977" s="3" t="s">
        <v>9390</v>
      </c>
      <c r="C4977" s="2"/>
      <c r="D4977" s="2" t="s">
        <v>16</v>
      </c>
      <c r="E4977" s="4">
        <f>138.38*(1-Z1%)</f>
        <v>138.38</v>
      </c>
      <c r="F4977" s="2">
        <v>2</v>
      </c>
      <c r="G4977" s="2"/>
    </row>
    <row r="4978" spans="1:26" customHeight="1" ht="18" hidden="true" outlineLevel="3">
      <c r="A4978" s="2" t="s">
        <v>9391</v>
      </c>
      <c r="B4978" s="3" t="s">
        <v>9392</v>
      </c>
      <c r="C4978" s="2"/>
      <c r="D4978" s="2" t="s">
        <v>16</v>
      </c>
      <c r="E4978" s="4">
        <f>102.45*(1-Z1%)</f>
        <v>102.45</v>
      </c>
      <c r="F4978" s="2">
        <v>19</v>
      </c>
      <c r="G4978" s="2"/>
    </row>
    <row r="4979" spans="1:26" customHeight="1" ht="18" hidden="true" outlineLevel="3">
      <c r="A4979" s="2" t="s">
        <v>9393</v>
      </c>
      <c r="B4979" s="3" t="s">
        <v>9394</v>
      </c>
      <c r="C4979" s="2"/>
      <c r="D4979" s="2" t="s">
        <v>16</v>
      </c>
      <c r="E4979" s="4">
        <f>105.17*(1-Z1%)</f>
        <v>105.17</v>
      </c>
      <c r="F4979" s="2">
        <v>20</v>
      </c>
      <c r="G4979" s="2"/>
    </row>
    <row r="4980" spans="1:26" customHeight="1" ht="18" hidden="true" outlineLevel="3">
      <c r="A4980" s="2" t="s">
        <v>9395</v>
      </c>
      <c r="B4980" s="3" t="s">
        <v>9396</v>
      </c>
      <c r="C4980" s="2"/>
      <c r="D4980" s="2" t="s">
        <v>16</v>
      </c>
      <c r="E4980" s="4">
        <f>105.17*(1-Z1%)</f>
        <v>105.17</v>
      </c>
      <c r="F4980" s="2">
        <v>15</v>
      </c>
      <c r="G4980" s="2"/>
    </row>
    <row r="4981" spans="1:26" customHeight="1" ht="18" hidden="true" outlineLevel="3">
      <c r="A4981" s="2" t="s">
        <v>9397</v>
      </c>
      <c r="B4981" s="3" t="s">
        <v>9398</v>
      </c>
      <c r="C4981" s="2"/>
      <c r="D4981" s="2" t="s">
        <v>16</v>
      </c>
      <c r="E4981" s="4">
        <f>203.41*(1-Z1%)</f>
        <v>203.41</v>
      </c>
      <c r="F4981" s="2">
        <v>1</v>
      </c>
      <c r="G4981" s="2"/>
    </row>
    <row r="4982" spans="1:26" customHeight="1" ht="18" hidden="true" outlineLevel="3">
      <c r="A4982" s="2" t="s">
        <v>9399</v>
      </c>
      <c r="B4982" s="3" t="s">
        <v>9400</v>
      </c>
      <c r="C4982" s="2"/>
      <c r="D4982" s="2" t="s">
        <v>16</v>
      </c>
      <c r="E4982" s="4">
        <f>203.41*(1-Z1%)</f>
        <v>203.41</v>
      </c>
      <c r="F4982" s="2">
        <v>2</v>
      </c>
      <c r="G4982" s="2"/>
    </row>
    <row r="4983" spans="1:26" customHeight="1" ht="18" hidden="true" outlineLevel="3">
      <c r="A4983" s="2" t="s">
        <v>9401</v>
      </c>
      <c r="B4983" s="3" t="s">
        <v>9402</v>
      </c>
      <c r="C4983" s="2"/>
      <c r="D4983" s="2" t="s">
        <v>16</v>
      </c>
      <c r="E4983" s="4">
        <f>140.97*(1-Z1%)</f>
        <v>140.97</v>
      </c>
      <c r="F4983" s="2">
        <v>4</v>
      </c>
      <c r="G4983" s="2"/>
    </row>
    <row r="4984" spans="1:26" customHeight="1" ht="18" hidden="true" outlineLevel="3">
      <c r="A4984" s="2" t="s">
        <v>9403</v>
      </c>
      <c r="B4984" s="3" t="s">
        <v>9404</v>
      </c>
      <c r="C4984" s="2"/>
      <c r="D4984" s="2" t="s">
        <v>16</v>
      </c>
      <c r="E4984" s="4">
        <f>170.34*(1-Z1%)</f>
        <v>170.34</v>
      </c>
      <c r="F4984" s="2">
        <v>14</v>
      </c>
      <c r="G4984" s="2"/>
    </row>
    <row r="4985" spans="1:26" customHeight="1" ht="18" hidden="true" outlineLevel="3">
      <c r="A4985" s="2" t="s">
        <v>9405</v>
      </c>
      <c r="B4985" s="3" t="s">
        <v>9406</v>
      </c>
      <c r="C4985" s="2"/>
      <c r="D4985" s="2" t="s">
        <v>16</v>
      </c>
      <c r="E4985" s="4">
        <f>179.77*(1-Z1%)</f>
        <v>179.77</v>
      </c>
      <c r="F4985" s="2">
        <v>7</v>
      </c>
      <c r="G4985" s="2"/>
    </row>
    <row r="4986" spans="1:26" customHeight="1" ht="18" hidden="true" outlineLevel="3">
      <c r="A4986" s="2" t="s">
        <v>9407</v>
      </c>
      <c r="B4986" s="3" t="s">
        <v>9408</v>
      </c>
      <c r="C4986" s="2"/>
      <c r="D4986" s="2" t="s">
        <v>16</v>
      </c>
      <c r="E4986" s="4">
        <f>155.07*(1-Z1%)</f>
        <v>155.07</v>
      </c>
      <c r="F4986" s="2">
        <v>18</v>
      </c>
      <c r="G4986" s="2"/>
    </row>
    <row r="4987" spans="1:26" customHeight="1" ht="18" hidden="true" outlineLevel="3">
      <c r="A4987" s="2" t="s">
        <v>9409</v>
      </c>
      <c r="B4987" s="3" t="s">
        <v>9410</v>
      </c>
      <c r="C4987" s="2"/>
      <c r="D4987" s="2" t="s">
        <v>16</v>
      </c>
      <c r="E4987" s="4">
        <f>179.77*(1-Z1%)</f>
        <v>179.77</v>
      </c>
      <c r="F4987" s="2">
        <v>6</v>
      </c>
      <c r="G4987" s="2"/>
    </row>
    <row r="4988" spans="1:26" customHeight="1" ht="18" hidden="true" outlineLevel="3">
      <c r="A4988" s="2" t="s">
        <v>9411</v>
      </c>
      <c r="B4988" s="3" t="s">
        <v>9412</v>
      </c>
      <c r="C4988" s="2"/>
      <c r="D4988" s="2" t="s">
        <v>16</v>
      </c>
      <c r="E4988" s="4">
        <f>136.97*(1-Z1%)</f>
        <v>136.97</v>
      </c>
      <c r="F4988" s="2">
        <v>4</v>
      </c>
      <c r="G4988" s="2"/>
    </row>
    <row r="4989" spans="1:26" customHeight="1" ht="18" hidden="true" outlineLevel="3">
      <c r="A4989" s="2" t="s">
        <v>9413</v>
      </c>
      <c r="B4989" s="3" t="s">
        <v>9414</v>
      </c>
      <c r="C4989" s="2"/>
      <c r="D4989" s="2" t="s">
        <v>16</v>
      </c>
      <c r="E4989" s="4">
        <f>113.81*(1-Z1%)</f>
        <v>113.81</v>
      </c>
      <c r="F4989" s="2">
        <v>3</v>
      </c>
      <c r="G4989" s="2"/>
    </row>
    <row r="4990" spans="1:26" customHeight="1" ht="18" hidden="true" outlineLevel="3">
      <c r="A4990" s="2" t="s">
        <v>9415</v>
      </c>
      <c r="B4990" s="3" t="s">
        <v>9416</v>
      </c>
      <c r="C4990" s="2"/>
      <c r="D4990" s="2" t="s">
        <v>16</v>
      </c>
      <c r="E4990" s="4">
        <f>142.25*(1-Z1%)</f>
        <v>142.25</v>
      </c>
      <c r="F4990" s="2">
        <v>2</v>
      </c>
      <c r="G4990" s="2"/>
    </row>
    <row r="4991" spans="1:26" customHeight="1" ht="18" hidden="true" outlineLevel="3">
      <c r="A4991" s="2" t="s">
        <v>9417</v>
      </c>
      <c r="B4991" s="3" t="s">
        <v>9418</v>
      </c>
      <c r="C4991" s="2"/>
      <c r="D4991" s="2" t="s">
        <v>16</v>
      </c>
      <c r="E4991" s="4">
        <f>142.25*(1-Z1%)</f>
        <v>142.25</v>
      </c>
      <c r="F4991" s="2">
        <v>4</v>
      </c>
      <c r="G4991" s="2"/>
    </row>
    <row r="4992" spans="1:26" customHeight="1" ht="18" hidden="true" outlineLevel="3">
      <c r="A4992" s="2" t="s">
        <v>9419</v>
      </c>
      <c r="B4992" s="3" t="s">
        <v>9420</v>
      </c>
      <c r="C4992" s="2"/>
      <c r="D4992" s="2" t="s">
        <v>16</v>
      </c>
      <c r="E4992" s="4">
        <f>102.65*(1-Z1%)</f>
        <v>102.65</v>
      </c>
      <c r="F4992" s="2">
        <v>4</v>
      </c>
      <c r="G4992" s="2"/>
    </row>
    <row r="4993" spans="1:26" customHeight="1" ht="18" hidden="true" outlineLevel="3">
      <c r="A4993" s="2" t="s">
        <v>9421</v>
      </c>
      <c r="B4993" s="3" t="s">
        <v>9422</v>
      </c>
      <c r="C4993" s="2"/>
      <c r="D4993" s="2" t="s">
        <v>16</v>
      </c>
      <c r="E4993" s="4">
        <f>94.38*(1-Z1%)</f>
        <v>94.38</v>
      </c>
      <c r="F4993" s="2">
        <v>29</v>
      </c>
      <c r="G4993" s="2"/>
    </row>
    <row r="4994" spans="1:26" customHeight="1" ht="18" hidden="true" outlineLevel="3">
      <c r="A4994" s="2" t="s">
        <v>9423</v>
      </c>
      <c r="B4994" s="3" t="s">
        <v>9424</v>
      </c>
      <c r="C4994" s="2"/>
      <c r="D4994" s="2" t="s">
        <v>16</v>
      </c>
      <c r="E4994" s="4">
        <f>91.83*(1-Z1%)</f>
        <v>91.83</v>
      </c>
      <c r="F4994" s="2">
        <v>32</v>
      </c>
      <c r="G4994" s="2"/>
    </row>
    <row r="4995" spans="1:26" customHeight="1" ht="18" hidden="true" outlineLevel="3">
      <c r="A4995" s="2" t="s">
        <v>9425</v>
      </c>
      <c r="B4995" s="3" t="s">
        <v>9426</v>
      </c>
      <c r="C4995" s="2"/>
      <c r="D4995" s="2" t="s">
        <v>16</v>
      </c>
      <c r="E4995" s="4">
        <f>91.83*(1-Z1%)</f>
        <v>91.83</v>
      </c>
      <c r="F4995" s="2">
        <v>28</v>
      </c>
      <c r="G4995" s="2"/>
    </row>
    <row r="4996" spans="1:26" customHeight="1" ht="18" hidden="true" outlineLevel="3">
      <c r="A4996" s="2" t="s">
        <v>9427</v>
      </c>
      <c r="B4996" s="3" t="s">
        <v>9428</v>
      </c>
      <c r="C4996" s="2"/>
      <c r="D4996" s="2" t="s">
        <v>16</v>
      </c>
      <c r="E4996" s="4">
        <f>85.18*(1-Z1%)</f>
        <v>85.18</v>
      </c>
      <c r="F4996" s="2">
        <v>31</v>
      </c>
      <c r="G4996" s="2"/>
    </row>
    <row r="4997" spans="1:26" customHeight="1" ht="18" hidden="true" outlineLevel="3">
      <c r="A4997" s="2" t="s">
        <v>9429</v>
      </c>
      <c r="B4997" s="3" t="s">
        <v>9430</v>
      </c>
      <c r="C4997" s="2"/>
      <c r="D4997" s="2" t="s">
        <v>16</v>
      </c>
      <c r="E4997" s="4">
        <f>85.18*(1-Z1%)</f>
        <v>85.18</v>
      </c>
      <c r="F4997" s="2">
        <v>29</v>
      </c>
      <c r="G4997" s="2"/>
    </row>
    <row r="4998" spans="1:26" customHeight="1" ht="18" hidden="true" outlineLevel="3">
      <c r="A4998" s="2" t="s">
        <v>9431</v>
      </c>
      <c r="B4998" s="3" t="s">
        <v>9432</v>
      </c>
      <c r="C4998" s="2"/>
      <c r="D4998" s="2" t="s">
        <v>16</v>
      </c>
      <c r="E4998" s="4">
        <f>118.85*(1-Z1%)</f>
        <v>118.85</v>
      </c>
      <c r="F4998" s="2">
        <v>11</v>
      </c>
      <c r="G4998" s="2"/>
    </row>
    <row r="4999" spans="1:26" customHeight="1" ht="18" hidden="true" outlineLevel="3">
      <c r="A4999" s="2" t="s">
        <v>9433</v>
      </c>
      <c r="B4999" s="3" t="s">
        <v>9434</v>
      </c>
      <c r="C4999" s="2"/>
      <c r="D4999" s="2" t="s">
        <v>16</v>
      </c>
      <c r="E4999" s="4">
        <f>71.82*(1-Z1%)</f>
        <v>71.82</v>
      </c>
      <c r="F4999" s="2">
        <v>10</v>
      </c>
      <c r="G4999" s="2"/>
    </row>
    <row r="5000" spans="1:26" customHeight="1" ht="18" hidden="true" outlineLevel="3">
      <c r="A5000" s="2" t="s">
        <v>9435</v>
      </c>
      <c r="B5000" s="3" t="s">
        <v>9436</v>
      </c>
      <c r="C5000" s="2"/>
      <c r="D5000" s="2" t="s">
        <v>16</v>
      </c>
      <c r="E5000" s="4">
        <f>71.82*(1-Z1%)</f>
        <v>71.82</v>
      </c>
      <c r="F5000" s="2">
        <v>24</v>
      </c>
      <c r="G5000" s="2"/>
    </row>
    <row r="5001" spans="1:26" customHeight="1" ht="18" hidden="true" outlineLevel="3">
      <c r="A5001" s="2" t="s">
        <v>9437</v>
      </c>
      <c r="B5001" s="3" t="s">
        <v>9438</v>
      </c>
      <c r="C5001" s="2"/>
      <c r="D5001" s="2" t="s">
        <v>16</v>
      </c>
      <c r="E5001" s="4">
        <f>71.82*(1-Z1%)</f>
        <v>71.82</v>
      </c>
      <c r="F5001" s="2">
        <v>10</v>
      </c>
      <c r="G5001" s="2"/>
    </row>
    <row r="5002" spans="1:26" customHeight="1" ht="18" hidden="true" outlineLevel="3">
      <c r="A5002" s="2" t="s">
        <v>9439</v>
      </c>
      <c r="B5002" s="3" t="s">
        <v>9440</v>
      </c>
      <c r="C5002" s="2"/>
      <c r="D5002" s="2" t="s">
        <v>16</v>
      </c>
      <c r="E5002" s="4">
        <f>71.82*(1-Z1%)</f>
        <v>71.82</v>
      </c>
      <c r="F5002" s="2">
        <v>20</v>
      </c>
      <c r="G5002" s="2"/>
    </row>
    <row r="5003" spans="1:26" customHeight="1" ht="18" hidden="true" outlineLevel="3">
      <c r="A5003" s="2" t="s">
        <v>9441</v>
      </c>
      <c r="B5003" s="3" t="s">
        <v>9442</v>
      </c>
      <c r="C5003" s="2"/>
      <c r="D5003" s="2" t="s">
        <v>16</v>
      </c>
      <c r="E5003" s="4">
        <f>71.82*(1-Z1%)</f>
        <v>71.82</v>
      </c>
      <c r="F5003" s="2">
        <v>10</v>
      </c>
      <c r="G5003" s="2"/>
    </row>
    <row r="5004" spans="1:26" customHeight="1" ht="18" hidden="true" outlineLevel="3">
      <c r="A5004" s="2" t="s">
        <v>9443</v>
      </c>
      <c r="B5004" s="3" t="s">
        <v>9444</v>
      </c>
      <c r="C5004" s="2"/>
      <c r="D5004" s="2" t="s">
        <v>16</v>
      </c>
      <c r="E5004" s="4">
        <f>71.82*(1-Z1%)</f>
        <v>71.82</v>
      </c>
      <c r="F5004" s="2">
        <v>20</v>
      </c>
      <c r="G5004" s="2"/>
    </row>
    <row r="5005" spans="1:26" customHeight="1" ht="18" hidden="true" outlineLevel="3">
      <c r="A5005" s="2" t="s">
        <v>9445</v>
      </c>
      <c r="B5005" s="3" t="s">
        <v>9446</v>
      </c>
      <c r="C5005" s="2"/>
      <c r="D5005" s="2" t="s">
        <v>16</v>
      </c>
      <c r="E5005" s="4">
        <f>99.18*(1-Z1%)</f>
        <v>99.18</v>
      </c>
      <c r="F5005" s="2">
        <v>6</v>
      </c>
      <c r="G5005" s="2"/>
    </row>
    <row r="5006" spans="1:26" customHeight="1" ht="18" hidden="true" outlineLevel="3">
      <c r="A5006" s="2" t="s">
        <v>9447</v>
      </c>
      <c r="B5006" s="3" t="s">
        <v>9448</v>
      </c>
      <c r="C5006" s="2"/>
      <c r="D5006" s="2" t="s">
        <v>16</v>
      </c>
      <c r="E5006" s="4">
        <f>71.82*(1-Z1%)</f>
        <v>71.82</v>
      </c>
      <c r="F5006" s="2">
        <v>20</v>
      </c>
      <c r="G5006" s="2"/>
    </row>
    <row r="5007" spans="1:26" customHeight="1" ht="18" hidden="true" outlineLevel="3">
      <c r="A5007" s="2" t="s">
        <v>9449</v>
      </c>
      <c r="B5007" s="3" t="s">
        <v>9450</v>
      </c>
      <c r="C5007" s="2"/>
      <c r="D5007" s="2" t="s">
        <v>16</v>
      </c>
      <c r="E5007" s="4">
        <f>73.53*(1-Z1%)</f>
        <v>73.53</v>
      </c>
      <c r="F5007" s="2">
        <v>17</v>
      </c>
      <c r="G5007" s="2"/>
    </row>
    <row r="5008" spans="1:26" customHeight="1" ht="18" hidden="true" outlineLevel="3">
      <c r="A5008" s="2" t="s">
        <v>9451</v>
      </c>
      <c r="B5008" s="3" t="s">
        <v>9452</v>
      </c>
      <c r="C5008" s="2"/>
      <c r="D5008" s="2" t="s">
        <v>16</v>
      </c>
      <c r="E5008" s="4">
        <f>90.63*(1-Z1%)</f>
        <v>90.63</v>
      </c>
      <c r="F5008" s="2">
        <v>20</v>
      </c>
      <c r="G5008" s="2"/>
    </row>
    <row r="5009" spans="1:26" customHeight="1" ht="18" hidden="true" outlineLevel="3">
      <c r="A5009" s="2" t="s">
        <v>9453</v>
      </c>
      <c r="B5009" s="3" t="s">
        <v>9454</v>
      </c>
      <c r="C5009" s="2"/>
      <c r="D5009" s="2" t="s">
        <v>16</v>
      </c>
      <c r="E5009" s="4">
        <f>71.82*(1-Z1%)</f>
        <v>71.82</v>
      </c>
      <c r="F5009" s="2">
        <v>97</v>
      </c>
      <c r="G5009" s="2"/>
    </row>
    <row r="5010" spans="1:26" customHeight="1" ht="18" hidden="true" outlineLevel="3">
      <c r="A5010" s="2" t="s">
        <v>9455</v>
      </c>
      <c r="B5010" s="3" t="s">
        <v>9456</v>
      </c>
      <c r="C5010" s="2"/>
      <c r="D5010" s="2" t="s">
        <v>16</v>
      </c>
      <c r="E5010" s="4">
        <f>54.72*(1-Z1%)</f>
        <v>54.72</v>
      </c>
      <c r="F5010" s="2">
        <v>13</v>
      </c>
      <c r="G5010" s="2"/>
    </row>
    <row r="5011" spans="1:26" customHeight="1" ht="18" hidden="true" outlineLevel="3">
      <c r="A5011" s="2" t="s">
        <v>9457</v>
      </c>
      <c r="B5011" s="3" t="s">
        <v>9458</v>
      </c>
      <c r="C5011" s="2"/>
      <c r="D5011" s="2" t="s">
        <v>16</v>
      </c>
      <c r="E5011" s="4">
        <f>53.87*(1-Z1%)</f>
        <v>53.87</v>
      </c>
      <c r="F5011" s="2">
        <v>20</v>
      </c>
      <c r="G5011" s="2"/>
    </row>
    <row r="5012" spans="1:26" customHeight="1" ht="18" hidden="true" outlineLevel="3">
      <c r="A5012" s="2" t="s">
        <v>9459</v>
      </c>
      <c r="B5012" s="3" t="s">
        <v>9460</v>
      </c>
      <c r="C5012" s="2"/>
      <c r="D5012" s="2" t="s">
        <v>16</v>
      </c>
      <c r="E5012" s="4">
        <f>48.74*(1-Z1%)</f>
        <v>48.74</v>
      </c>
      <c r="F5012" s="2">
        <v>19</v>
      </c>
      <c r="G5012" s="2"/>
    </row>
    <row r="5013" spans="1:26" customHeight="1" ht="18" hidden="true" outlineLevel="3">
      <c r="A5013" s="2" t="s">
        <v>9461</v>
      </c>
      <c r="B5013" s="3" t="s">
        <v>9462</v>
      </c>
      <c r="C5013" s="2"/>
      <c r="D5013" s="2" t="s">
        <v>16</v>
      </c>
      <c r="E5013" s="4">
        <f>48.74*(1-Z1%)</f>
        <v>48.74</v>
      </c>
      <c r="F5013" s="2">
        <v>18</v>
      </c>
      <c r="G5013" s="2"/>
    </row>
    <row r="5014" spans="1:26" customHeight="1" ht="36" hidden="true" outlineLevel="3">
      <c r="A5014" s="2" t="s">
        <v>9463</v>
      </c>
      <c r="B5014" s="3" t="s">
        <v>9464</v>
      </c>
      <c r="C5014" s="2"/>
      <c r="D5014" s="2" t="s">
        <v>16</v>
      </c>
      <c r="E5014" s="4">
        <f>670.46*(1-Z1%)</f>
        <v>670.46</v>
      </c>
      <c r="F5014" s="2">
        <v>2</v>
      </c>
      <c r="G5014" s="2"/>
    </row>
    <row r="5015" spans="1:26" customHeight="1" ht="36" hidden="true" outlineLevel="3">
      <c r="A5015" s="2" t="s">
        <v>9465</v>
      </c>
      <c r="B5015" s="3" t="s">
        <v>9466</v>
      </c>
      <c r="C5015" s="2"/>
      <c r="D5015" s="2" t="s">
        <v>16</v>
      </c>
      <c r="E5015" s="4">
        <f>670.46*(1-Z1%)</f>
        <v>670.46</v>
      </c>
      <c r="F5015" s="2">
        <v>2</v>
      </c>
      <c r="G5015" s="2"/>
    </row>
    <row r="5016" spans="1:26" customHeight="1" ht="36" hidden="true" outlineLevel="3">
      <c r="A5016" s="2" t="s">
        <v>9467</v>
      </c>
      <c r="B5016" s="3" t="s">
        <v>9468</v>
      </c>
      <c r="C5016" s="2"/>
      <c r="D5016" s="2" t="s">
        <v>16</v>
      </c>
      <c r="E5016" s="4">
        <f>680.65*(1-Z1%)</f>
        <v>680.65</v>
      </c>
      <c r="F5016" s="2">
        <v>4</v>
      </c>
      <c r="G5016" s="2"/>
    </row>
    <row r="5017" spans="1:26" customHeight="1" ht="18" hidden="true" outlineLevel="3">
      <c r="A5017" s="2" t="s">
        <v>9469</v>
      </c>
      <c r="B5017" s="3" t="s">
        <v>9470</v>
      </c>
      <c r="C5017" s="2"/>
      <c r="D5017" s="2" t="s">
        <v>16</v>
      </c>
      <c r="E5017" s="4">
        <f>69.82*(1-Z1%)</f>
        <v>69.82</v>
      </c>
      <c r="F5017" s="2">
        <v>22</v>
      </c>
      <c r="G5017" s="2"/>
    </row>
    <row r="5018" spans="1:26" customHeight="1" ht="18" hidden="true" outlineLevel="3">
      <c r="A5018" s="2" t="s">
        <v>9471</v>
      </c>
      <c r="B5018" s="3" t="s">
        <v>9472</v>
      </c>
      <c r="C5018" s="2"/>
      <c r="D5018" s="2" t="s">
        <v>16</v>
      </c>
      <c r="E5018" s="4">
        <f>267.14*(1-Z1%)</f>
        <v>267.14</v>
      </c>
      <c r="F5018" s="2">
        <v>1</v>
      </c>
      <c r="G5018" s="2"/>
    </row>
    <row r="5019" spans="1:26" customHeight="1" ht="18" hidden="true" outlineLevel="3">
      <c r="A5019" s="2" t="s">
        <v>9473</v>
      </c>
      <c r="B5019" s="3" t="s">
        <v>9474</v>
      </c>
      <c r="C5019" s="2"/>
      <c r="D5019" s="2" t="s">
        <v>16</v>
      </c>
      <c r="E5019" s="4">
        <f>77.43*(1-Z1%)</f>
        <v>77.43</v>
      </c>
      <c r="F5019" s="2">
        <v>6</v>
      </c>
      <c r="G5019" s="2"/>
    </row>
    <row r="5020" spans="1:26" customHeight="1" ht="18" hidden="true" outlineLevel="3">
      <c r="A5020" s="2" t="s">
        <v>9475</v>
      </c>
      <c r="B5020" s="3" t="s">
        <v>9476</v>
      </c>
      <c r="C5020" s="2"/>
      <c r="D5020" s="2" t="s">
        <v>16</v>
      </c>
      <c r="E5020" s="4">
        <f>77.43*(1-Z1%)</f>
        <v>77.43</v>
      </c>
      <c r="F5020" s="2">
        <v>1</v>
      </c>
      <c r="G5020" s="2"/>
    </row>
    <row r="5021" spans="1:26" customHeight="1" ht="18" hidden="true" outlineLevel="3">
      <c r="A5021" s="2" t="s">
        <v>9477</v>
      </c>
      <c r="B5021" s="3" t="s">
        <v>9478</v>
      </c>
      <c r="C5021" s="2"/>
      <c r="D5021" s="2" t="s">
        <v>16</v>
      </c>
      <c r="E5021" s="4">
        <f>73.75*(1-Z1%)</f>
        <v>73.75</v>
      </c>
      <c r="F5021" s="2">
        <v>15</v>
      </c>
      <c r="G5021" s="2"/>
    </row>
    <row r="5022" spans="1:26" customHeight="1" ht="18" hidden="true" outlineLevel="3">
      <c r="A5022" s="2" t="s">
        <v>9479</v>
      </c>
      <c r="B5022" s="3" t="s">
        <v>9480</v>
      </c>
      <c r="C5022" s="2"/>
      <c r="D5022" s="2" t="s">
        <v>16</v>
      </c>
      <c r="E5022" s="4">
        <f>73.75*(1-Z1%)</f>
        <v>73.75</v>
      </c>
      <c r="F5022" s="2">
        <v>1</v>
      </c>
      <c r="G5022" s="2"/>
    </row>
    <row r="5023" spans="1:26" customHeight="1" ht="36" hidden="true" outlineLevel="3">
      <c r="A5023" s="2" t="s">
        <v>9481</v>
      </c>
      <c r="B5023" s="3" t="s">
        <v>9482</v>
      </c>
      <c r="C5023" s="2"/>
      <c r="D5023" s="2" t="s">
        <v>16</v>
      </c>
      <c r="E5023" s="4">
        <f>108.02*(1-Z1%)</f>
        <v>108.02</v>
      </c>
      <c r="F5023" s="2">
        <v>15</v>
      </c>
      <c r="G5023" s="2"/>
    </row>
    <row r="5024" spans="1:26" customHeight="1" ht="36" hidden="true" outlineLevel="3">
      <c r="A5024" s="2" t="s">
        <v>9483</v>
      </c>
      <c r="B5024" s="3" t="s">
        <v>9484</v>
      </c>
      <c r="C5024" s="2"/>
      <c r="D5024" s="2" t="s">
        <v>16</v>
      </c>
      <c r="E5024" s="4">
        <f>108.02*(1-Z1%)</f>
        <v>108.02</v>
      </c>
      <c r="F5024" s="2">
        <v>14</v>
      </c>
      <c r="G5024" s="2"/>
    </row>
    <row r="5025" spans="1:26" customHeight="1" ht="35" hidden="true" outlineLevel="3">
      <c r="A5025" s="5" t="s">
        <v>9485</v>
      </c>
      <c r="B5025" s="5"/>
      <c r="C5025" s="5"/>
      <c r="D5025" s="5"/>
      <c r="E5025" s="5"/>
      <c r="F5025" s="5"/>
      <c r="G5025" s="5"/>
    </row>
    <row r="5026" spans="1:26" customHeight="1" ht="18" hidden="true" outlineLevel="3">
      <c r="A5026" s="2" t="s">
        <v>9486</v>
      </c>
      <c r="B5026" s="3" t="s">
        <v>9487</v>
      </c>
      <c r="C5026" s="2"/>
      <c r="D5026" s="2" t="s">
        <v>16</v>
      </c>
      <c r="E5026" s="4">
        <f>1085.63*(1-Z1%)</f>
        <v>1085.63</v>
      </c>
      <c r="F5026" s="2">
        <v>2</v>
      </c>
      <c r="G5026" s="2"/>
    </row>
    <row r="5027" spans="1:26" customHeight="1" ht="36" hidden="true" outlineLevel="3">
      <c r="A5027" s="2" t="s">
        <v>9488</v>
      </c>
      <c r="B5027" s="3" t="s">
        <v>9489</v>
      </c>
      <c r="C5027" s="2"/>
      <c r="D5027" s="2" t="s">
        <v>16</v>
      </c>
      <c r="E5027" s="4">
        <f>434.22*(1-Z1%)</f>
        <v>434.22</v>
      </c>
      <c r="F5027" s="2">
        <v>3</v>
      </c>
      <c r="G5027" s="2"/>
    </row>
    <row r="5028" spans="1:26" customHeight="1" ht="18" hidden="true" outlineLevel="3">
      <c r="A5028" s="2" t="s">
        <v>9490</v>
      </c>
      <c r="B5028" s="3" t="s">
        <v>9491</v>
      </c>
      <c r="C5028" s="2"/>
      <c r="D5028" s="2" t="s">
        <v>16</v>
      </c>
      <c r="E5028" s="4">
        <f>811.40*(1-Z1%)</f>
        <v>811.4</v>
      </c>
      <c r="F5028" s="2">
        <v>1</v>
      </c>
      <c r="G5028" s="2"/>
    </row>
    <row r="5029" spans="1:26" customHeight="1" ht="36" hidden="true" outlineLevel="3">
      <c r="A5029" s="2" t="s">
        <v>9492</v>
      </c>
      <c r="B5029" s="3" t="s">
        <v>9493</v>
      </c>
      <c r="C5029" s="2"/>
      <c r="D5029" s="2" t="s">
        <v>16</v>
      </c>
      <c r="E5029" s="4">
        <f>505.58*(1-Z1%)</f>
        <v>505.58</v>
      </c>
      <c r="F5029" s="2">
        <v>2</v>
      </c>
      <c r="G5029" s="2"/>
    </row>
    <row r="5030" spans="1:26" customHeight="1" ht="35" hidden="true" outlineLevel="3">
      <c r="A5030" s="5" t="s">
        <v>9494</v>
      </c>
      <c r="B5030" s="5"/>
      <c r="C5030" s="5"/>
      <c r="D5030" s="5"/>
      <c r="E5030" s="5"/>
      <c r="F5030" s="5"/>
      <c r="G5030" s="5"/>
    </row>
    <row r="5031" spans="1:26" customHeight="1" ht="36" hidden="true" outlineLevel="3">
      <c r="A5031" s="2" t="s">
        <v>9495</v>
      </c>
      <c r="B5031" s="3" t="s">
        <v>9496</v>
      </c>
      <c r="C5031" s="2"/>
      <c r="D5031" s="2" t="s">
        <v>16</v>
      </c>
      <c r="E5031" s="4">
        <f>1023.19*(1-Z1%)</f>
        <v>1023.19</v>
      </c>
      <c r="F5031" s="2">
        <v>1</v>
      </c>
      <c r="G5031" s="2"/>
    </row>
    <row r="5032" spans="1:26" customHeight="1" ht="36" hidden="true" outlineLevel="3">
      <c r="A5032" s="2" t="s">
        <v>9497</v>
      </c>
      <c r="B5032" s="3" t="s">
        <v>9498</v>
      </c>
      <c r="C5032" s="2"/>
      <c r="D5032" s="2" t="s">
        <v>16</v>
      </c>
      <c r="E5032" s="4">
        <f>1107.45*(1-Z1%)</f>
        <v>1107.45</v>
      </c>
      <c r="F5032" s="2">
        <v>1</v>
      </c>
      <c r="G5032" s="2"/>
    </row>
    <row r="5033" spans="1:26" customHeight="1" ht="36" hidden="true" outlineLevel="3">
      <c r="A5033" s="2" t="s">
        <v>9499</v>
      </c>
      <c r="B5033" s="3" t="s">
        <v>9500</v>
      </c>
      <c r="C5033" s="2"/>
      <c r="D5033" s="2" t="s">
        <v>16</v>
      </c>
      <c r="E5033" s="4">
        <f>1107.45*(1-Z1%)</f>
        <v>1107.45</v>
      </c>
      <c r="F5033" s="2">
        <v>3</v>
      </c>
      <c r="G5033" s="2"/>
    </row>
    <row r="5034" spans="1:26" customHeight="1" ht="36" hidden="true" outlineLevel="3">
      <c r="A5034" s="2" t="s">
        <v>9501</v>
      </c>
      <c r="B5034" s="3" t="s">
        <v>9502</v>
      </c>
      <c r="C5034" s="2"/>
      <c r="D5034" s="2" t="s">
        <v>16</v>
      </c>
      <c r="E5034" s="4">
        <f>1913.97*(1-Z1%)</f>
        <v>1913.97</v>
      </c>
      <c r="F5034" s="2">
        <v>2</v>
      </c>
      <c r="G5034" s="2"/>
    </row>
    <row r="5035" spans="1:26" customHeight="1" ht="36" hidden="true" outlineLevel="3">
      <c r="A5035" s="2" t="s">
        <v>9503</v>
      </c>
      <c r="B5035" s="3" t="s">
        <v>9504</v>
      </c>
      <c r="C5035" s="2"/>
      <c r="D5035" s="2" t="s">
        <v>16</v>
      </c>
      <c r="E5035" s="4">
        <f>1913.97*(1-Z1%)</f>
        <v>1913.97</v>
      </c>
      <c r="F5035" s="2">
        <v>2</v>
      </c>
      <c r="G5035" s="2"/>
    </row>
    <row r="5036" spans="1:26" customHeight="1" ht="36" hidden="true" outlineLevel="3">
      <c r="A5036" s="2" t="s">
        <v>9505</v>
      </c>
      <c r="B5036" s="3" t="s">
        <v>9506</v>
      </c>
      <c r="C5036" s="2"/>
      <c r="D5036" s="2" t="s">
        <v>16</v>
      </c>
      <c r="E5036" s="4">
        <f>1191.72*(1-Z1%)</f>
        <v>1191.72</v>
      </c>
      <c r="F5036" s="2">
        <v>4</v>
      </c>
      <c r="G5036" s="2"/>
    </row>
    <row r="5037" spans="1:26" customHeight="1" ht="36" hidden="true" outlineLevel="3">
      <c r="A5037" s="2" t="s">
        <v>9507</v>
      </c>
      <c r="B5037" s="3" t="s">
        <v>9508</v>
      </c>
      <c r="C5037" s="2"/>
      <c r="D5037" s="2" t="s">
        <v>16</v>
      </c>
      <c r="E5037" s="4">
        <f>1191.72*(1-Z1%)</f>
        <v>1191.72</v>
      </c>
      <c r="F5037" s="2">
        <v>4</v>
      </c>
      <c r="G5037" s="2"/>
    </row>
    <row r="5038" spans="1:26" customHeight="1" ht="36" hidden="true" outlineLevel="3">
      <c r="A5038" s="2" t="s">
        <v>9509</v>
      </c>
      <c r="B5038" s="3" t="s">
        <v>9510</v>
      </c>
      <c r="C5038" s="2"/>
      <c r="D5038" s="2" t="s">
        <v>16</v>
      </c>
      <c r="E5038" s="4">
        <f>599.56*(1-Z1%)</f>
        <v>599.56</v>
      </c>
      <c r="F5038" s="2">
        <v>4</v>
      </c>
      <c r="G5038" s="2"/>
    </row>
    <row r="5039" spans="1:26" customHeight="1" ht="36" hidden="true" outlineLevel="3">
      <c r="A5039" s="2" t="s">
        <v>9511</v>
      </c>
      <c r="B5039" s="3" t="s">
        <v>9512</v>
      </c>
      <c r="C5039" s="2"/>
      <c r="D5039" s="2" t="s">
        <v>16</v>
      </c>
      <c r="E5039" s="4">
        <f>599.56*(1-Z1%)</f>
        <v>599.56</v>
      </c>
      <c r="F5039" s="2">
        <v>4</v>
      </c>
      <c r="G5039" s="2"/>
    </row>
    <row r="5040" spans="1:26" customHeight="1" ht="35" hidden="true" outlineLevel="2">
      <c r="A5040" s="5" t="s">
        <v>9513</v>
      </c>
      <c r="B5040" s="5"/>
      <c r="C5040" s="5"/>
      <c r="D5040" s="5"/>
      <c r="E5040" s="5"/>
      <c r="F5040" s="5"/>
      <c r="G5040" s="5"/>
    </row>
    <row r="5041" spans="1:26" customHeight="1" ht="35" hidden="true" outlineLevel="3">
      <c r="A5041" s="5" t="s">
        <v>9514</v>
      </c>
      <c r="B5041" s="5"/>
      <c r="C5041" s="5"/>
      <c r="D5041" s="5"/>
      <c r="E5041" s="5"/>
      <c r="F5041" s="5"/>
      <c r="G5041" s="5"/>
    </row>
    <row r="5042" spans="1:26" customHeight="1" ht="36" hidden="true" outlineLevel="3">
      <c r="A5042" s="2" t="s">
        <v>9515</v>
      </c>
      <c r="B5042" s="3" t="s">
        <v>9516</v>
      </c>
      <c r="C5042" s="2"/>
      <c r="D5042" s="2" t="s">
        <v>16</v>
      </c>
      <c r="E5042" s="4">
        <f>309.38*(1-Z1%)</f>
        <v>309.38</v>
      </c>
      <c r="F5042" s="2">
        <v>5</v>
      </c>
      <c r="G5042" s="2"/>
    </row>
    <row r="5043" spans="1:26" customHeight="1" ht="18" hidden="true" outlineLevel="3">
      <c r="A5043" s="2" t="s">
        <v>9517</v>
      </c>
      <c r="B5043" s="3" t="s">
        <v>9518</v>
      </c>
      <c r="C5043" s="2"/>
      <c r="D5043" s="2" t="s">
        <v>16</v>
      </c>
      <c r="E5043" s="4">
        <f>977.63*(1-Z1%)</f>
        <v>977.63</v>
      </c>
      <c r="F5043" s="2">
        <v>8</v>
      </c>
      <c r="G5043" s="2"/>
    </row>
    <row r="5044" spans="1:26" customHeight="1" ht="36" hidden="true" outlineLevel="3">
      <c r="A5044" s="2" t="s">
        <v>9519</v>
      </c>
      <c r="B5044" s="3" t="s">
        <v>9520</v>
      </c>
      <c r="C5044" s="2"/>
      <c r="D5044" s="2" t="s">
        <v>16</v>
      </c>
      <c r="E5044" s="4">
        <f>804.38*(1-Z1%)</f>
        <v>804.38</v>
      </c>
      <c r="F5044" s="2">
        <v>16</v>
      </c>
      <c r="G5044" s="2"/>
    </row>
    <row r="5045" spans="1:26" customHeight="1" ht="18" hidden="true" outlineLevel="3">
      <c r="A5045" s="2" t="s">
        <v>9521</v>
      </c>
      <c r="B5045" s="3" t="s">
        <v>9522</v>
      </c>
      <c r="C5045" s="2"/>
      <c r="D5045" s="2" t="s">
        <v>16</v>
      </c>
      <c r="E5045" s="4">
        <f>1794.38*(1-Z1%)</f>
        <v>1794.38</v>
      </c>
      <c r="F5045" s="2">
        <v>3</v>
      </c>
      <c r="G5045" s="2"/>
    </row>
    <row r="5046" spans="1:26" customHeight="1" ht="35" hidden="true" outlineLevel="3">
      <c r="A5046" s="5" t="s">
        <v>9523</v>
      </c>
      <c r="B5046" s="5"/>
      <c r="C5046" s="5"/>
      <c r="D5046" s="5"/>
      <c r="E5046" s="5"/>
      <c r="F5046" s="5"/>
      <c r="G5046" s="5"/>
    </row>
    <row r="5047" spans="1:26" customHeight="1" ht="18" hidden="true" outlineLevel="3">
      <c r="A5047" s="2" t="s">
        <v>9524</v>
      </c>
      <c r="B5047" s="3" t="s">
        <v>9525</v>
      </c>
      <c r="C5047" s="2"/>
      <c r="D5047" s="2" t="s">
        <v>16</v>
      </c>
      <c r="E5047" s="4">
        <f>69.26*(1-Z1%)</f>
        <v>69.26</v>
      </c>
      <c r="F5047" s="2">
        <v>15</v>
      </c>
      <c r="G5047" s="2"/>
    </row>
    <row r="5048" spans="1:26" customHeight="1" ht="18" hidden="true" outlineLevel="3">
      <c r="A5048" s="2" t="s">
        <v>9526</v>
      </c>
      <c r="B5048" s="3" t="s">
        <v>9527</v>
      </c>
      <c r="C5048" s="2"/>
      <c r="D5048" s="2" t="s">
        <v>16</v>
      </c>
      <c r="E5048" s="4">
        <f>69.26*(1-Z1%)</f>
        <v>69.26</v>
      </c>
      <c r="F5048" s="2">
        <v>9</v>
      </c>
      <c r="G5048" s="2"/>
    </row>
    <row r="5049" spans="1:26" customHeight="1" ht="18" hidden="true" outlineLevel="3">
      <c r="A5049" s="2" t="s">
        <v>9528</v>
      </c>
      <c r="B5049" s="3" t="s">
        <v>9529</v>
      </c>
      <c r="C5049" s="2"/>
      <c r="D5049" s="2" t="s">
        <v>16</v>
      </c>
      <c r="E5049" s="4">
        <f>56.43*(1-Z1%)</f>
        <v>56.43</v>
      </c>
      <c r="F5049" s="2">
        <v>2</v>
      </c>
      <c r="G5049" s="2"/>
    </row>
    <row r="5050" spans="1:26" customHeight="1" ht="18" hidden="true" outlineLevel="3">
      <c r="A5050" s="2" t="s">
        <v>9530</v>
      </c>
      <c r="B5050" s="3" t="s">
        <v>9531</v>
      </c>
      <c r="C5050" s="2"/>
      <c r="D5050" s="2" t="s">
        <v>16</v>
      </c>
      <c r="E5050" s="4">
        <f>59.85*(1-Z1%)</f>
        <v>59.85</v>
      </c>
      <c r="F5050" s="2">
        <v>33</v>
      </c>
      <c r="G5050" s="2"/>
    </row>
    <row r="5051" spans="1:26" customHeight="1" ht="18" hidden="true" outlineLevel="3">
      <c r="A5051" s="2" t="s">
        <v>9532</v>
      </c>
      <c r="B5051" s="3" t="s">
        <v>9533</v>
      </c>
      <c r="C5051" s="2"/>
      <c r="D5051" s="2" t="s">
        <v>16</v>
      </c>
      <c r="E5051" s="4">
        <f>59.85*(1-Z1%)</f>
        <v>59.85</v>
      </c>
      <c r="F5051" s="2">
        <v>26</v>
      </c>
      <c r="G5051" s="2"/>
    </row>
    <row r="5052" spans="1:26" customHeight="1" ht="18" hidden="true" outlineLevel="3">
      <c r="A5052" s="2" t="s">
        <v>9534</v>
      </c>
      <c r="B5052" s="3" t="s">
        <v>9535</v>
      </c>
      <c r="C5052" s="2"/>
      <c r="D5052" s="2" t="s">
        <v>16</v>
      </c>
      <c r="E5052" s="4">
        <f>70.97*(1-Z1%)</f>
        <v>70.97</v>
      </c>
      <c r="F5052" s="2">
        <v>9</v>
      </c>
      <c r="G5052" s="2"/>
    </row>
    <row r="5053" spans="1:26" customHeight="1" ht="18" hidden="true" outlineLevel="3">
      <c r="A5053" s="2" t="s">
        <v>9536</v>
      </c>
      <c r="B5053" s="3" t="s">
        <v>9537</v>
      </c>
      <c r="C5053" s="2"/>
      <c r="D5053" s="2" t="s">
        <v>16</v>
      </c>
      <c r="E5053" s="4">
        <f>134.48*(1-Z1%)</f>
        <v>134.48</v>
      </c>
      <c r="F5053" s="2">
        <v>3</v>
      </c>
      <c r="G5053" s="2"/>
    </row>
    <row r="5054" spans="1:26" customHeight="1" ht="18" hidden="true" outlineLevel="3">
      <c r="A5054" s="2" t="s">
        <v>9538</v>
      </c>
      <c r="B5054" s="3" t="s">
        <v>9539</v>
      </c>
      <c r="C5054" s="2"/>
      <c r="D5054" s="2" t="s">
        <v>16</v>
      </c>
      <c r="E5054" s="4">
        <f>80.89*(1-Z1%)</f>
        <v>80.89</v>
      </c>
      <c r="F5054" s="2">
        <v>9</v>
      </c>
      <c r="G5054" s="2"/>
    </row>
    <row r="5055" spans="1:26" customHeight="1" ht="18" hidden="true" outlineLevel="3">
      <c r="A5055" s="2" t="s">
        <v>9540</v>
      </c>
      <c r="B5055" s="3" t="s">
        <v>9541</v>
      </c>
      <c r="C5055" s="2"/>
      <c r="D5055" s="2" t="s">
        <v>16</v>
      </c>
      <c r="E5055" s="4">
        <f>80.89*(1-Z1%)</f>
        <v>80.89</v>
      </c>
      <c r="F5055" s="2">
        <v>5</v>
      </c>
      <c r="G5055" s="2"/>
    </row>
    <row r="5056" spans="1:26" customHeight="1" ht="18" hidden="true" outlineLevel="3">
      <c r="A5056" s="2" t="s">
        <v>9542</v>
      </c>
      <c r="B5056" s="3" t="s">
        <v>9543</v>
      </c>
      <c r="C5056" s="2"/>
      <c r="D5056" s="2" t="s">
        <v>16</v>
      </c>
      <c r="E5056" s="4">
        <f>81.90*(1-Z1%)</f>
        <v>81.9</v>
      </c>
      <c r="F5056" s="2">
        <v>2</v>
      </c>
      <c r="G5056" s="2"/>
    </row>
    <row r="5057" spans="1:26" customHeight="1" ht="18" hidden="true" outlineLevel="3">
      <c r="A5057" s="2" t="s">
        <v>9544</v>
      </c>
      <c r="B5057" s="3" t="s">
        <v>9545</v>
      </c>
      <c r="C5057" s="2"/>
      <c r="D5057" s="2" t="s">
        <v>16</v>
      </c>
      <c r="E5057" s="4">
        <f>73.75*(1-Z1%)</f>
        <v>73.75</v>
      </c>
      <c r="F5057" s="2">
        <v>9</v>
      </c>
      <c r="G5057" s="2"/>
    </row>
    <row r="5058" spans="1:26" customHeight="1" ht="18" hidden="true" outlineLevel="3">
      <c r="A5058" s="2" t="s">
        <v>9546</v>
      </c>
      <c r="B5058" s="3" t="s">
        <v>9547</v>
      </c>
      <c r="C5058" s="2"/>
      <c r="D5058" s="2" t="s">
        <v>16</v>
      </c>
      <c r="E5058" s="4">
        <f>75.92*(1-Z1%)</f>
        <v>75.92</v>
      </c>
      <c r="F5058" s="2">
        <v>10</v>
      </c>
      <c r="G5058" s="2"/>
    </row>
    <row r="5059" spans="1:26" customHeight="1" ht="18" hidden="true" outlineLevel="3">
      <c r="A5059" s="2" t="s">
        <v>9548</v>
      </c>
      <c r="B5059" s="3" t="s">
        <v>9549</v>
      </c>
      <c r="C5059" s="2"/>
      <c r="D5059" s="2" t="s">
        <v>16</v>
      </c>
      <c r="E5059" s="4">
        <f>29.39*(1-Z1%)</f>
        <v>29.39</v>
      </c>
      <c r="F5059" s="2">
        <v>79</v>
      </c>
      <c r="G5059" s="2"/>
    </row>
    <row r="5060" spans="1:26" customHeight="1" ht="18" hidden="true" outlineLevel="3">
      <c r="A5060" s="2" t="s">
        <v>9550</v>
      </c>
      <c r="B5060" s="3" t="s">
        <v>9551</v>
      </c>
      <c r="C5060" s="2"/>
      <c r="D5060" s="2" t="s">
        <v>16</v>
      </c>
      <c r="E5060" s="4">
        <f>36.44*(1-Z1%)</f>
        <v>36.44</v>
      </c>
      <c r="F5060" s="2">
        <v>40</v>
      </c>
      <c r="G5060" s="2"/>
    </row>
    <row r="5061" spans="1:26" customHeight="1" ht="18" hidden="true" outlineLevel="3">
      <c r="A5061" s="2" t="s">
        <v>9552</v>
      </c>
      <c r="B5061" s="3" t="s">
        <v>9553</v>
      </c>
      <c r="C5061" s="2"/>
      <c r="D5061" s="2" t="s">
        <v>16</v>
      </c>
      <c r="E5061" s="4">
        <f>36.44*(1-Z1%)</f>
        <v>36.44</v>
      </c>
      <c r="F5061" s="2">
        <v>38</v>
      </c>
      <c r="G5061" s="2"/>
    </row>
    <row r="5062" spans="1:26" customHeight="1" ht="18" hidden="true" outlineLevel="3">
      <c r="A5062" s="2" t="s">
        <v>9554</v>
      </c>
      <c r="B5062" s="3" t="s">
        <v>9555</v>
      </c>
      <c r="C5062" s="2"/>
      <c r="D5062" s="2" t="s">
        <v>16</v>
      </c>
      <c r="E5062" s="4">
        <f>23.51*(1-Z1%)</f>
        <v>23.51</v>
      </c>
      <c r="F5062" s="2">
        <v>1</v>
      </c>
      <c r="G5062" s="2"/>
    </row>
    <row r="5063" spans="1:26" customHeight="1" ht="35" hidden="true" outlineLevel="3">
      <c r="A5063" s="5" t="s">
        <v>9556</v>
      </c>
      <c r="B5063" s="5"/>
      <c r="C5063" s="5"/>
      <c r="D5063" s="5"/>
      <c r="E5063" s="5"/>
      <c r="F5063" s="5"/>
      <c r="G5063" s="5"/>
    </row>
    <row r="5064" spans="1:26" customHeight="1" ht="36" hidden="true" outlineLevel="3">
      <c r="A5064" s="2" t="s">
        <v>9557</v>
      </c>
      <c r="B5064" s="3" t="s">
        <v>9558</v>
      </c>
      <c r="C5064" s="2"/>
      <c r="D5064" s="2" t="s">
        <v>16</v>
      </c>
      <c r="E5064" s="4">
        <f>494.19*(1-Z1%)</f>
        <v>494.19</v>
      </c>
      <c r="F5064" s="2">
        <v>2</v>
      </c>
      <c r="G5064" s="2"/>
    </row>
    <row r="5065" spans="1:26" customHeight="1" ht="35">
      <c r="A5065" s="1" t="s">
        <v>9559</v>
      </c>
      <c r="B5065" s="1"/>
      <c r="C5065" s="1"/>
      <c r="D5065" s="1"/>
      <c r="E5065" s="1"/>
      <c r="F5065" s="1"/>
      <c r="G5065" s="1"/>
    </row>
    <row r="5066" spans="1:26" customHeight="1" ht="35" hidden="true" outlineLevel="2">
      <c r="A5066" s="5" t="s">
        <v>9560</v>
      </c>
      <c r="B5066" s="5"/>
      <c r="C5066" s="5"/>
      <c r="D5066" s="5"/>
      <c r="E5066" s="5"/>
      <c r="F5066" s="5"/>
      <c r="G5066" s="5"/>
    </row>
    <row r="5067" spans="1:26" customHeight="1" ht="18" hidden="true" outlineLevel="2">
      <c r="A5067" s="2" t="s">
        <v>9561</v>
      </c>
      <c r="B5067" s="3" t="s">
        <v>9562</v>
      </c>
      <c r="C5067" s="2"/>
      <c r="D5067" s="2" t="s">
        <v>16</v>
      </c>
      <c r="E5067" s="4">
        <f>296.98*(1-Z1%)</f>
        <v>296.98</v>
      </c>
      <c r="F5067" s="2">
        <v>8</v>
      </c>
      <c r="G5067" s="2"/>
    </row>
    <row r="5068" spans="1:26" customHeight="1" ht="18" hidden="true" outlineLevel="2">
      <c r="A5068" s="2" t="s">
        <v>9563</v>
      </c>
      <c r="B5068" s="3" t="s">
        <v>9564</v>
      </c>
      <c r="C5068" s="2"/>
      <c r="D5068" s="2" t="s">
        <v>16</v>
      </c>
      <c r="E5068" s="4">
        <f>326.27*(1-Z1%)</f>
        <v>326.27</v>
      </c>
      <c r="F5068" s="2">
        <v>16</v>
      </c>
      <c r="G5068" s="2"/>
    </row>
    <row r="5069" spans="1:26" customHeight="1" ht="18" hidden="true" outlineLevel="2">
      <c r="A5069" s="2" t="s">
        <v>9565</v>
      </c>
      <c r="B5069" s="3" t="s">
        <v>9566</v>
      </c>
      <c r="C5069" s="2"/>
      <c r="D5069" s="2" t="s">
        <v>16</v>
      </c>
      <c r="E5069" s="4">
        <f>459.44*(1-Z1%)</f>
        <v>459.44</v>
      </c>
      <c r="F5069" s="2">
        <v>20</v>
      </c>
      <c r="G5069" s="2"/>
    </row>
    <row r="5070" spans="1:26" customHeight="1" ht="18" hidden="true" outlineLevel="2">
      <c r="A5070" s="2" t="s">
        <v>9567</v>
      </c>
      <c r="B5070" s="3" t="s">
        <v>9568</v>
      </c>
      <c r="C5070" s="2"/>
      <c r="D5070" s="2" t="s">
        <v>16</v>
      </c>
      <c r="E5070" s="4">
        <f>367.55*(1-Z1%)</f>
        <v>367.55</v>
      </c>
      <c r="F5070" s="2">
        <v>16</v>
      </c>
      <c r="G5070" s="2"/>
    </row>
    <row r="5071" spans="1:26" customHeight="1" ht="18" hidden="true" outlineLevel="2">
      <c r="A5071" s="2" t="s">
        <v>9569</v>
      </c>
      <c r="B5071" s="3" t="s">
        <v>9570</v>
      </c>
      <c r="C5071" s="2"/>
      <c r="D5071" s="2" t="s">
        <v>16</v>
      </c>
      <c r="E5071" s="4">
        <f>725.32*(1-Z1%)</f>
        <v>725.32</v>
      </c>
      <c r="F5071" s="2">
        <v>4</v>
      </c>
      <c r="G5071" s="2"/>
    </row>
    <row r="5072" spans="1:26" customHeight="1" ht="18" hidden="true" outlineLevel="2">
      <c r="A5072" s="2" t="s">
        <v>9571</v>
      </c>
      <c r="B5072" s="3" t="s">
        <v>9572</v>
      </c>
      <c r="C5072" s="2"/>
      <c r="D5072" s="2" t="s">
        <v>16</v>
      </c>
      <c r="E5072" s="4">
        <f>330.58*(1-Z1%)</f>
        <v>330.58</v>
      </c>
      <c r="F5072" s="2">
        <v>2</v>
      </c>
      <c r="G5072" s="2"/>
    </row>
    <row r="5073" spans="1:26" customHeight="1" ht="18" hidden="true" outlineLevel="2">
      <c r="A5073" s="2" t="s">
        <v>9573</v>
      </c>
      <c r="B5073" s="3" t="s">
        <v>9574</v>
      </c>
      <c r="C5073" s="2"/>
      <c r="D5073" s="2" t="s">
        <v>16</v>
      </c>
      <c r="E5073" s="4">
        <f>347.40*(1-Z1%)</f>
        <v>347.4</v>
      </c>
      <c r="F5073" s="2">
        <v>13</v>
      </c>
      <c r="G5073" s="2"/>
    </row>
    <row r="5074" spans="1:26" customHeight="1" ht="18" hidden="true" outlineLevel="2">
      <c r="A5074" s="2" t="s">
        <v>9575</v>
      </c>
      <c r="B5074" s="3" t="s">
        <v>9576</v>
      </c>
      <c r="C5074" s="2"/>
      <c r="D5074" s="2" t="s">
        <v>16</v>
      </c>
      <c r="E5074" s="4">
        <f>379.89*(1-Z1%)</f>
        <v>379.89</v>
      </c>
      <c r="F5074" s="2">
        <v>7</v>
      </c>
      <c r="G5074" s="2"/>
    </row>
    <row r="5075" spans="1:26" customHeight="1" ht="18" hidden="true" outlineLevel="2">
      <c r="A5075" s="2" t="s">
        <v>9577</v>
      </c>
      <c r="B5075" s="3" t="s">
        <v>9578</v>
      </c>
      <c r="C5075" s="2"/>
      <c r="D5075" s="2" t="s">
        <v>16</v>
      </c>
      <c r="E5075" s="4">
        <f>358.61*(1-Z1%)</f>
        <v>358.61</v>
      </c>
      <c r="F5075" s="2">
        <v>10</v>
      </c>
      <c r="G5075" s="2"/>
    </row>
    <row r="5076" spans="1:26" customHeight="1" ht="36" hidden="true" outlineLevel="2">
      <c r="A5076" s="2" t="s">
        <v>9579</v>
      </c>
      <c r="B5076" s="3" t="s">
        <v>9580</v>
      </c>
      <c r="C5076" s="2"/>
      <c r="D5076" s="2" t="s">
        <v>16</v>
      </c>
      <c r="E5076" s="4">
        <f>296.98*(1-Z1%)</f>
        <v>296.98</v>
      </c>
      <c r="F5076" s="2">
        <v>12</v>
      </c>
      <c r="G5076" s="2"/>
    </row>
    <row r="5077" spans="1:26" customHeight="1" ht="18" hidden="true" outlineLevel="2">
      <c r="A5077" s="2" t="s">
        <v>9581</v>
      </c>
      <c r="B5077" s="3" t="s">
        <v>9582</v>
      </c>
      <c r="C5077" s="2"/>
      <c r="D5077" s="2" t="s">
        <v>16</v>
      </c>
      <c r="E5077" s="4">
        <f>327.60*(1-Z1%)</f>
        <v>327.6</v>
      </c>
      <c r="F5077" s="2">
        <v>15</v>
      </c>
      <c r="G5077" s="2"/>
    </row>
    <row r="5078" spans="1:26" customHeight="1" ht="18" hidden="true" outlineLevel="2">
      <c r="A5078" s="2" t="s">
        <v>9583</v>
      </c>
      <c r="B5078" s="3" t="s">
        <v>9584</v>
      </c>
      <c r="C5078" s="2"/>
      <c r="D5078" s="2" t="s">
        <v>16</v>
      </c>
      <c r="E5078" s="4">
        <f>326.27*(1-Z1%)</f>
        <v>326.27</v>
      </c>
      <c r="F5078" s="2">
        <v>17</v>
      </c>
      <c r="G5078" s="2"/>
    </row>
    <row r="5079" spans="1:26" customHeight="1" ht="18" hidden="true" outlineLevel="2">
      <c r="A5079" s="2" t="s">
        <v>9585</v>
      </c>
      <c r="B5079" s="3" t="s">
        <v>9586</v>
      </c>
      <c r="C5079" s="2"/>
      <c r="D5079" s="2" t="s">
        <v>16</v>
      </c>
      <c r="E5079" s="4">
        <f>326.27*(1-Z1%)</f>
        <v>326.27</v>
      </c>
      <c r="F5079" s="2">
        <v>19</v>
      </c>
      <c r="G5079" s="2"/>
    </row>
    <row r="5080" spans="1:26" customHeight="1" ht="18" hidden="true" outlineLevel="2">
      <c r="A5080" s="2" t="s">
        <v>9587</v>
      </c>
      <c r="B5080" s="3" t="s">
        <v>9588</v>
      </c>
      <c r="C5080" s="2"/>
      <c r="D5080" s="2" t="s">
        <v>16</v>
      </c>
      <c r="E5080" s="4">
        <f>235.71*(1-Z1%)</f>
        <v>235.71</v>
      </c>
      <c r="F5080" s="2">
        <v>3</v>
      </c>
      <c r="G5080" s="2"/>
    </row>
    <row r="5081" spans="1:26" customHeight="1" ht="18" hidden="true" outlineLevel="2">
      <c r="A5081" s="2" t="s">
        <v>9589</v>
      </c>
      <c r="B5081" s="3" t="s">
        <v>9590</v>
      </c>
      <c r="C5081" s="2"/>
      <c r="D5081" s="2" t="s">
        <v>16</v>
      </c>
      <c r="E5081" s="4">
        <f>368.87*(1-Z1%)</f>
        <v>368.87</v>
      </c>
      <c r="F5081" s="2">
        <v>17</v>
      </c>
      <c r="G5081" s="2"/>
    </row>
    <row r="5082" spans="1:26" customHeight="1" ht="18" hidden="true" outlineLevel="2">
      <c r="A5082" s="2" t="s">
        <v>9591</v>
      </c>
      <c r="B5082" s="3" t="s">
        <v>9592</v>
      </c>
      <c r="C5082" s="2"/>
      <c r="D5082" s="2" t="s">
        <v>16</v>
      </c>
      <c r="E5082" s="4">
        <f>255.70*(1-Z1%)</f>
        <v>255.7</v>
      </c>
      <c r="F5082" s="2">
        <v>9</v>
      </c>
      <c r="G5082" s="2"/>
    </row>
    <row r="5083" spans="1:26" customHeight="1" ht="18" hidden="true" outlineLevel="2">
      <c r="A5083" s="2" t="s">
        <v>9593</v>
      </c>
      <c r="B5083" s="3" t="s">
        <v>9594</v>
      </c>
      <c r="C5083" s="2"/>
      <c r="D5083" s="2" t="s">
        <v>16</v>
      </c>
      <c r="E5083" s="4">
        <f>292.98*(1-Z1%)</f>
        <v>292.98</v>
      </c>
      <c r="F5083" s="2">
        <v>14</v>
      </c>
      <c r="G5083" s="2"/>
    </row>
    <row r="5084" spans="1:26" customHeight="1" ht="18" hidden="true" outlineLevel="2">
      <c r="A5084" s="2" t="s">
        <v>9595</v>
      </c>
      <c r="B5084" s="3" t="s">
        <v>9596</v>
      </c>
      <c r="C5084" s="2"/>
      <c r="D5084" s="2" t="s">
        <v>16</v>
      </c>
      <c r="E5084" s="4">
        <f>397.00*(1-Z1%)</f>
        <v>397</v>
      </c>
      <c r="F5084" s="2">
        <v>7</v>
      </c>
      <c r="G5084" s="2"/>
    </row>
    <row r="5085" spans="1:26" customHeight="1" ht="18" hidden="true" outlineLevel="2">
      <c r="A5085" s="2" t="s">
        <v>9597</v>
      </c>
      <c r="B5085" s="3" t="s">
        <v>9598</v>
      </c>
      <c r="C5085" s="2"/>
      <c r="D5085" s="2" t="s">
        <v>16</v>
      </c>
      <c r="E5085" s="4">
        <f>397.00*(1-Z1%)</f>
        <v>397</v>
      </c>
      <c r="F5085" s="2">
        <v>5</v>
      </c>
      <c r="G5085" s="2"/>
    </row>
    <row r="5086" spans="1:26" customHeight="1" ht="18" hidden="true" outlineLevel="2">
      <c r="A5086" s="2" t="s">
        <v>9599</v>
      </c>
      <c r="B5086" s="3" t="s">
        <v>9600</v>
      </c>
      <c r="C5086" s="2"/>
      <c r="D5086" s="2" t="s">
        <v>16</v>
      </c>
      <c r="E5086" s="4">
        <f>451.97*(1-Z1%)</f>
        <v>451.97</v>
      </c>
      <c r="F5086" s="2">
        <v>6</v>
      </c>
      <c r="G5086" s="2"/>
    </row>
    <row r="5087" spans="1:26" customHeight="1" ht="18" hidden="true" outlineLevel="2">
      <c r="A5087" s="2" t="s">
        <v>9601</v>
      </c>
      <c r="B5087" s="3" t="s">
        <v>9602</v>
      </c>
      <c r="C5087" s="2"/>
      <c r="D5087" s="2" t="s">
        <v>16</v>
      </c>
      <c r="E5087" s="4">
        <f>451.97*(1-Z1%)</f>
        <v>451.97</v>
      </c>
      <c r="F5087" s="2">
        <v>5</v>
      </c>
      <c r="G5087" s="2"/>
    </row>
    <row r="5088" spans="1:26" customHeight="1" ht="18" hidden="true" outlineLevel="2">
      <c r="A5088" s="2" t="s">
        <v>9603</v>
      </c>
      <c r="B5088" s="3" t="s">
        <v>9604</v>
      </c>
      <c r="C5088" s="2"/>
      <c r="D5088" s="2" t="s">
        <v>16</v>
      </c>
      <c r="E5088" s="4">
        <f>663.75*(1-Z1%)</f>
        <v>663.75</v>
      </c>
      <c r="F5088" s="2">
        <v>9</v>
      </c>
      <c r="G5088" s="2"/>
    </row>
    <row r="5089" spans="1:26" customHeight="1" ht="18" hidden="true" outlineLevel="2">
      <c r="A5089" s="2" t="s">
        <v>9605</v>
      </c>
      <c r="B5089" s="3" t="s">
        <v>9606</v>
      </c>
      <c r="C5089" s="2"/>
      <c r="D5089" s="2" t="s">
        <v>16</v>
      </c>
      <c r="E5089" s="4">
        <f>708.75*(1-Z1%)</f>
        <v>708.75</v>
      </c>
      <c r="F5089" s="2">
        <v>19</v>
      </c>
      <c r="G5089" s="2"/>
    </row>
    <row r="5090" spans="1:26" customHeight="1" ht="18" hidden="true" outlineLevel="2">
      <c r="A5090" s="2" t="s">
        <v>9607</v>
      </c>
      <c r="B5090" s="3" t="s">
        <v>9608</v>
      </c>
      <c r="C5090" s="2"/>
      <c r="D5090" s="2" t="s">
        <v>16</v>
      </c>
      <c r="E5090" s="4">
        <f>663.75*(1-Z1%)</f>
        <v>663.75</v>
      </c>
      <c r="F5090" s="2">
        <v>24</v>
      </c>
      <c r="G5090" s="2"/>
    </row>
    <row r="5091" spans="1:26" customHeight="1" ht="18" hidden="true" outlineLevel="2">
      <c r="A5091" s="2" t="s">
        <v>9609</v>
      </c>
      <c r="B5091" s="3" t="s">
        <v>9610</v>
      </c>
      <c r="C5091" s="2"/>
      <c r="D5091" s="2" t="s">
        <v>16</v>
      </c>
      <c r="E5091" s="4">
        <f>663.75*(1-Z1%)</f>
        <v>663.75</v>
      </c>
      <c r="F5091" s="2">
        <v>15</v>
      </c>
      <c r="G5091" s="2"/>
    </row>
    <row r="5092" spans="1:26" customHeight="1" ht="18" hidden="true" outlineLevel="2">
      <c r="A5092" s="2" t="s">
        <v>9611</v>
      </c>
      <c r="B5092" s="3" t="s">
        <v>9612</v>
      </c>
      <c r="C5092" s="2"/>
      <c r="D5092" s="2" t="s">
        <v>16</v>
      </c>
      <c r="E5092" s="4">
        <f>663.75*(1-Z1%)</f>
        <v>663.75</v>
      </c>
      <c r="F5092" s="2">
        <v>6</v>
      </c>
      <c r="G5092" s="2"/>
    </row>
    <row r="5093" spans="1:26" customHeight="1" ht="18" hidden="true" outlineLevel="2">
      <c r="A5093" s="2" t="s">
        <v>9613</v>
      </c>
      <c r="B5093" s="3" t="s">
        <v>9614</v>
      </c>
      <c r="C5093" s="2"/>
      <c r="D5093" s="2" t="s">
        <v>16</v>
      </c>
      <c r="E5093" s="4">
        <f>725.63*(1-Z1%)</f>
        <v>725.63</v>
      </c>
      <c r="F5093" s="2">
        <v>5</v>
      </c>
      <c r="G5093" s="2"/>
    </row>
    <row r="5094" spans="1:26" customHeight="1" ht="18" hidden="true" outlineLevel="2">
      <c r="A5094" s="2" t="s">
        <v>9615</v>
      </c>
      <c r="B5094" s="3" t="s">
        <v>9616</v>
      </c>
      <c r="C5094" s="2"/>
      <c r="D5094" s="2" t="s">
        <v>16</v>
      </c>
      <c r="E5094" s="4">
        <f>663.75*(1-Z1%)</f>
        <v>663.75</v>
      </c>
      <c r="F5094" s="2">
        <v>5</v>
      </c>
      <c r="G5094" s="2"/>
    </row>
    <row r="5095" spans="1:26" customHeight="1" ht="18" hidden="true" outlineLevel="2">
      <c r="A5095" s="2" t="s">
        <v>9617</v>
      </c>
      <c r="B5095" s="3" t="s">
        <v>9618</v>
      </c>
      <c r="C5095" s="2"/>
      <c r="D5095" s="2" t="s">
        <v>16</v>
      </c>
      <c r="E5095" s="4">
        <f>691.88*(1-Z1%)</f>
        <v>691.88</v>
      </c>
      <c r="F5095" s="2">
        <v>3</v>
      </c>
      <c r="G5095" s="2"/>
    </row>
    <row r="5096" spans="1:26" customHeight="1" ht="18" hidden="true" outlineLevel="2">
      <c r="A5096" s="2" t="s">
        <v>9619</v>
      </c>
      <c r="B5096" s="3" t="s">
        <v>9620</v>
      </c>
      <c r="C5096" s="2"/>
      <c r="D5096" s="2" t="s">
        <v>16</v>
      </c>
      <c r="E5096" s="4">
        <f>725.63*(1-Z1%)</f>
        <v>725.63</v>
      </c>
      <c r="F5096" s="2">
        <v>6</v>
      </c>
      <c r="G5096" s="2"/>
    </row>
    <row r="5097" spans="1:26" customHeight="1" ht="18" hidden="true" outlineLevel="2">
      <c r="A5097" s="2" t="s">
        <v>9621</v>
      </c>
      <c r="B5097" s="3" t="s">
        <v>9622</v>
      </c>
      <c r="C5097" s="2"/>
      <c r="D5097" s="2" t="s">
        <v>16</v>
      </c>
      <c r="E5097" s="4">
        <f>691.88*(1-Z1%)</f>
        <v>691.88</v>
      </c>
      <c r="F5097" s="2">
        <v>19</v>
      </c>
      <c r="G5097" s="2"/>
    </row>
    <row r="5098" spans="1:26" customHeight="1" ht="18" hidden="true" outlineLevel="2">
      <c r="A5098" s="2" t="s">
        <v>9623</v>
      </c>
      <c r="B5098" s="3" t="s">
        <v>9624</v>
      </c>
      <c r="C5098" s="2"/>
      <c r="D5098" s="2" t="s">
        <v>16</v>
      </c>
      <c r="E5098" s="4">
        <f>725.63*(1-Z1%)</f>
        <v>725.63</v>
      </c>
      <c r="F5098" s="2">
        <v>4</v>
      </c>
      <c r="G5098" s="2"/>
    </row>
    <row r="5099" spans="1:26" customHeight="1" ht="18" hidden="true" outlineLevel="2">
      <c r="A5099" s="2" t="s">
        <v>9625</v>
      </c>
      <c r="B5099" s="3" t="s">
        <v>9626</v>
      </c>
      <c r="C5099" s="2"/>
      <c r="D5099" s="2" t="s">
        <v>16</v>
      </c>
      <c r="E5099" s="4">
        <f>630.00*(1-Z1%)</f>
        <v>630</v>
      </c>
      <c r="F5099" s="2">
        <v>1</v>
      </c>
      <c r="G5099" s="2"/>
    </row>
    <row r="5100" spans="1:26" customHeight="1" ht="18" hidden="true" outlineLevel="2">
      <c r="A5100" s="2" t="s">
        <v>9627</v>
      </c>
      <c r="B5100" s="3" t="s">
        <v>9628</v>
      </c>
      <c r="C5100" s="2"/>
      <c r="D5100" s="2" t="s">
        <v>16</v>
      </c>
      <c r="E5100" s="4">
        <f>320.63*(1-Z1%)</f>
        <v>320.63</v>
      </c>
      <c r="F5100" s="2">
        <v>2</v>
      </c>
      <c r="G5100" s="2"/>
    </row>
    <row r="5101" spans="1:26" customHeight="1" ht="18" hidden="true" outlineLevel="2">
      <c r="A5101" s="2" t="s">
        <v>9629</v>
      </c>
      <c r="B5101" s="3" t="s">
        <v>9630</v>
      </c>
      <c r="C5101" s="2"/>
      <c r="D5101" s="2" t="s">
        <v>16</v>
      </c>
      <c r="E5101" s="4">
        <f>320.63*(1-Z1%)</f>
        <v>320.63</v>
      </c>
      <c r="F5101" s="2">
        <v>1</v>
      </c>
      <c r="G5101" s="2"/>
    </row>
    <row r="5102" spans="1:26" customHeight="1" ht="18" hidden="true" outlineLevel="2">
      <c r="A5102" s="2" t="s">
        <v>9631</v>
      </c>
      <c r="B5102" s="3" t="s">
        <v>9632</v>
      </c>
      <c r="C5102" s="2"/>
      <c r="D5102" s="2" t="s">
        <v>16</v>
      </c>
      <c r="E5102" s="4">
        <f>309.38*(1-Z1%)</f>
        <v>309.38</v>
      </c>
      <c r="F5102" s="2">
        <v>1</v>
      </c>
      <c r="G5102" s="2"/>
    </row>
    <row r="5103" spans="1:26" customHeight="1" ht="18" hidden="true" outlineLevel="2">
      <c r="A5103" s="2" t="s">
        <v>9633</v>
      </c>
      <c r="B5103" s="3" t="s">
        <v>9634</v>
      </c>
      <c r="C5103" s="2"/>
      <c r="D5103" s="2" t="s">
        <v>16</v>
      </c>
      <c r="E5103" s="4">
        <f>309.38*(1-Z1%)</f>
        <v>309.38</v>
      </c>
      <c r="F5103" s="2">
        <v>3</v>
      </c>
      <c r="G5103" s="2"/>
    </row>
    <row r="5104" spans="1:26" customHeight="1" ht="18" hidden="true" outlineLevel="2">
      <c r="A5104" s="2" t="s">
        <v>9635</v>
      </c>
      <c r="B5104" s="3" t="s">
        <v>9636</v>
      </c>
      <c r="C5104" s="2"/>
      <c r="D5104" s="2" t="s">
        <v>16</v>
      </c>
      <c r="E5104" s="4">
        <f>309.38*(1-Z1%)</f>
        <v>309.38</v>
      </c>
      <c r="F5104" s="2">
        <v>2</v>
      </c>
      <c r="G5104" s="2"/>
    </row>
    <row r="5105" spans="1:26" customHeight="1" ht="18" hidden="true" outlineLevel="2">
      <c r="A5105" s="2" t="s">
        <v>9637</v>
      </c>
      <c r="B5105" s="3" t="s">
        <v>9638</v>
      </c>
      <c r="C5105" s="2"/>
      <c r="D5105" s="2" t="s">
        <v>16</v>
      </c>
      <c r="E5105" s="4">
        <f>303.75*(1-Z1%)</f>
        <v>303.75</v>
      </c>
      <c r="F5105" s="2">
        <v>9</v>
      </c>
      <c r="G5105" s="2"/>
    </row>
    <row r="5106" spans="1:26" customHeight="1" ht="18" hidden="true" outlineLevel="2">
      <c r="A5106" s="2" t="s">
        <v>9639</v>
      </c>
      <c r="B5106" s="3" t="s">
        <v>9640</v>
      </c>
      <c r="C5106" s="2"/>
      <c r="D5106" s="2" t="s">
        <v>16</v>
      </c>
      <c r="E5106" s="4">
        <f>247.50*(1-Z1%)</f>
        <v>247.5</v>
      </c>
      <c r="F5106" s="2">
        <v>12</v>
      </c>
      <c r="G5106" s="2"/>
    </row>
    <row r="5107" spans="1:26" customHeight="1" ht="18" hidden="true" outlineLevel="2">
      <c r="A5107" s="2" t="s">
        <v>9641</v>
      </c>
      <c r="B5107" s="3" t="s">
        <v>9642</v>
      </c>
      <c r="C5107" s="2"/>
      <c r="D5107" s="2" t="s">
        <v>16</v>
      </c>
      <c r="E5107" s="4">
        <f>247.50*(1-Z1%)</f>
        <v>247.5</v>
      </c>
      <c r="F5107" s="2">
        <v>14</v>
      </c>
      <c r="G5107" s="2"/>
    </row>
    <row r="5108" spans="1:26" customHeight="1" ht="18" hidden="true" outlineLevel="2">
      <c r="A5108" s="2" t="s">
        <v>9643</v>
      </c>
      <c r="B5108" s="3" t="s">
        <v>9644</v>
      </c>
      <c r="C5108" s="2"/>
      <c r="D5108" s="2" t="s">
        <v>16</v>
      </c>
      <c r="E5108" s="4">
        <f>247.50*(1-Z1%)</f>
        <v>247.5</v>
      </c>
      <c r="F5108" s="2">
        <v>19</v>
      </c>
      <c r="G5108" s="2"/>
    </row>
    <row r="5109" spans="1:26" customHeight="1" ht="18" hidden="true" outlineLevel="2">
      <c r="A5109" s="2" t="s">
        <v>9645</v>
      </c>
      <c r="B5109" s="3" t="s">
        <v>9646</v>
      </c>
      <c r="C5109" s="2"/>
      <c r="D5109" s="2" t="s">
        <v>16</v>
      </c>
      <c r="E5109" s="4">
        <f>247.50*(1-Z1%)</f>
        <v>247.5</v>
      </c>
      <c r="F5109" s="2">
        <v>4</v>
      </c>
      <c r="G5109" s="2"/>
    </row>
    <row r="5110" spans="1:26" customHeight="1" ht="18" hidden="true" outlineLevel="2">
      <c r="A5110" s="2" t="s">
        <v>9647</v>
      </c>
      <c r="B5110" s="3" t="s">
        <v>9648</v>
      </c>
      <c r="C5110" s="2"/>
      <c r="D5110" s="2" t="s">
        <v>16</v>
      </c>
      <c r="E5110" s="4">
        <f>247.50*(1-Z1%)</f>
        <v>247.5</v>
      </c>
      <c r="F5110" s="2">
        <v>12</v>
      </c>
      <c r="G5110" s="2"/>
    </row>
    <row r="5111" spans="1:26" customHeight="1" ht="18" hidden="true" outlineLevel="2">
      <c r="A5111" s="2" t="s">
        <v>9649</v>
      </c>
      <c r="B5111" s="3" t="s">
        <v>9650</v>
      </c>
      <c r="C5111" s="2"/>
      <c r="D5111" s="2" t="s">
        <v>16</v>
      </c>
      <c r="E5111" s="4">
        <f>247.50*(1-Z1%)</f>
        <v>247.5</v>
      </c>
      <c r="F5111" s="2">
        <v>20</v>
      </c>
      <c r="G5111" s="2"/>
    </row>
    <row r="5112" spans="1:26" customHeight="1" ht="18" hidden="true" outlineLevel="2">
      <c r="A5112" s="2" t="s">
        <v>9651</v>
      </c>
      <c r="B5112" s="3" t="s">
        <v>9652</v>
      </c>
      <c r="C5112" s="2"/>
      <c r="D5112" s="2" t="s">
        <v>16</v>
      </c>
      <c r="E5112" s="4">
        <f>247.50*(1-Z1%)</f>
        <v>247.5</v>
      </c>
      <c r="F5112" s="2">
        <v>20</v>
      </c>
      <c r="G5112" s="2"/>
    </row>
    <row r="5113" spans="1:26" customHeight="1" ht="18" hidden="true" outlineLevel="2">
      <c r="A5113" s="2" t="s">
        <v>9653</v>
      </c>
      <c r="B5113" s="3" t="s">
        <v>9654</v>
      </c>
      <c r="C5113" s="2"/>
      <c r="D5113" s="2" t="s">
        <v>16</v>
      </c>
      <c r="E5113" s="4">
        <f>247.50*(1-Z1%)</f>
        <v>247.5</v>
      </c>
      <c r="F5113" s="2">
        <v>10</v>
      </c>
      <c r="G5113" s="2"/>
    </row>
    <row r="5114" spans="1:26" customHeight="1" ht="18" hidden="true" outlineLevel="2">
      <c r="A5114" s="2" t="s">
        <v>9655</v>
      </c>
      <c r="B5114" s="3" t="s">
        <v>9656</v>
      </c>
      <c r="C5114" s="2"/>
      <c r="D5114" s="2" t="s">
        <v>16</v>
      </c>
      <c r="E5114" s="4">
        <f>247.50*(1-Z1%)</f>
        <v>247.5</v>
      </c>
      <c r="F5114" s="2">
        <v>9</v>
      </c>
      <c r="G5114" s="2"/>
    </row>
    <row r="5115" spans="1:26" customHeight="1" ht="18" hidden="true" outlineLevel="2">
      <c r="A5115" s="2" t="s">
        <v>9657</v>
      </c>
      <c r="B5115" s="3" t="s">
        <v>9658</v>
      </c>
      <c r="C5115" s="2"/>
      <c r="D5115" s="2" t="s">
        <v>16</v>
      </c>
      <c r="E5115" s="4">
        <f>247.50*(1-Z1%)</f>
        <v>247.5</v>
      </c>
      <c r="F5115" s="2">
        <v>16</v>
      </c>
      <c r="G5115" s="2"/>
    </row>
    <row r="5116" spans="1:26" customHeight="1" ht="18" hidden="true" outlineLevel="2">
      <c r="A5116" s="2" t="s">
        <v>9659</v>
      </c>
      <c r="B5116" s="3" t="s">
        <v>9660</v>
      </c>
      <c r="C5116" s="2"/>
      <c r="D5116" s="2" t="s">
        <v>16</v>
      </c>
      <c r="E5116" s="4">
        <f>247.50*(1-Z1%)</f>
        <v>247.5</v>
      </c>
      <c r="F5116" s="2">
        <v>29</v>
      </c>
      <c r="G5116" s="2"/>
    </row>
    <row r="5117" spans="1:26" customHeight="1" ht="18" hidden="true" outlineLevel="2">
      <c r="A5117" s="2" t="s">
        <v>9661</v>
      </c>
      <c r="B5117" s="3" t="s">
        <v>9662</v>
      </c>
      <c r="C5117" s="2"/>
      <c r="D5117" s="2" t="s">
        <v>16</v>
      </c>
      <c r="E5117" s="4">
        <f>247.50*(1-Z1%)</f>
        <v>247.5</v>
      </c>
      <c r="F5117" s="2">
        <v>30</v>
      </c>
      <c r="G5117" s="2"/>
    </row>
    <row r="5118" spans="1:26" customHeight="1" ht="18" hidden="true" outlineLevel="2">
      <c r="A5118" s="2" t="s">
        <v>9663</v>
      </c>
      <c r="B5118" s="3" t="s">
        <v>9664</v>
      </c>
      <c r="C5118" s="2"/>
      <c r="D5118" s="2" t="s">
        <v>16</v>
      </c>
      <c r="E5118" s="4">
        <f>247.50*(1-Z1%)</f>
        <v>247.5</v>
      </c>
      <c r="F5118" s="2">
        <v>29</v>
      </c>
      <c r="G5118" s="2"/>
    </row>
    <row r="5119" spans="1:26" customHeight="1" ht="18" hidden="true" outlineLevel="2">
      <c r="A5119" s="2" t="s">
        <v>9665</v>
      </c>
      <c r="B5119" s="3" t="s">
        <v>9666</v>
      </c>
      <c r="C5119" s="2"/>
      <c r="D5119" s="2" t="s">
        <v>16</v>
      </c>
      <c r="E5119" s="4">
        <f>286.88*(1-Z1%)</f>
        <v>286.88</v>
      </c>
      <c r="F5119" s="2">
        <v>21</v>
      </c>
      <c r="G5119" s="2"/>
    </row>
    <row r="5120" spans="1:26" customHeight="1" ht="18" hidden="true" outlineLevel="2">
      <c r="A5120" s="2" t="s">
        <v>9667</v>
      </c>
      <c r="B5120" s="3" t="s">
        <v>9668</v>
      </c>
      <c r="C5120" s="2"/>
      <c r="D5120" s="2" t="s">
        <v>16</v>
      </c>
      <c r="E5120" s="4">
        <f>286.88*(1-Z1%)</f>
        <v>286.88</v>
      </c>
      <c r="F5120" s="2">
        <v>37</v>
      </c>
      <c r="G5120" s="2"/>
    </row>
    <row r="5121" spans="1:26" customHeight="1" ht="18" hidden="true" outlineLevel="2">
      <c r="A5121" s="2" t="s">
        <v>9669</v>
      </c>
      <c r="B5121" s="3" t="s">
        <v>9670</v>
      </c>
      <c r="C5121" s="2"/>
      <c r="D5121" s="2" t="s">
        <v>16</v>
      </c>
      <c r="E5121" s="4">
        <f>286.88*(1-Z1%)</f>
        <v>286.88</v>
      </c>
      <c r="F5121" s="2">
        <v>24</v>
      </c>
      <c r="G5121" s="2"/>
    </row>
    <row r="5122" spans="1:26" customHeight="1" ht="18" hidden="true" outlineLevel="2">
      <c r="A5122" s="2" t="s">
        <v>9671</v>
      </c>
      <c r="B5122" s="3" t="s">
        <v>9672</v>
      </c>
      <c r="C5122" s="2"/>
      <c r="D5122" s="2" t="s">
        <v>16</v>
      </c>
      <c r="E5122" s="4">
        <f>286.88*(1-Z1%)</f>
        <v>286.88</v>
      </c>
      <c r="F5122" s="2">
        <v>21</v>
      </c>
      <c r="G5122" s="2"/>
    </row>
    <row r="5123" spans="1:26" customHeight="1" ht="18" hidden="true" outlineLevel="2">
      <c r="A5123" s="2" t="s">
        <v>9673</v>
      </c>
      <c r="B5123" s="3" t="s">
        <v>9674</v>
      </c>
      <c r="C5123" s="2"/>
      <c r="D5123" s="2" t="s">
        <v>16</v>
      </c>
      <c r="E5123" s="4">
        <f>247.50*(1-Z1%)</f>
        <v>247.5</v>
      </c>
      <c r="F5123" s="2">
        <v>20</v>
      </c>
      <c r="G5123" s="2"/>
    </row>
    <row r="5124" spans="1:26" customHeight="1" ht="18" hidden="true" outlineLevel="2">
      <c r="A5124" s="2" t="s">
        <v>9675</v>
      </c>
      <c r="B5124" s="3" t="s">
        <v>9676</v>
      </c>
      <c r="C5124" s="2"/>
      <c r="D5124" s="2" t="s">
        <v>16</v>
      </c>
      <c r="E5124" s="4">
        <f>247.50*(1-Z1%)</f>
        <v>247.5</v>
      </c>
      <c r="F5124" s="2">
        <v>3</v>
      </c>
      <c r="G5124" s="2"/>
    </row>
    <row r="5125" spans="1:26" customHeight="1" ht="18" hidden="true" outlineLevel="2">
      <c r="A5125" s="2" t="s">
        <v>9677</v>
      </c>
      <c r="B5125" s="3" t="s">
        <v>9678</v>
      </c>
      <c r="C5125" s="2"/>
      <c r="D5125" s="2" t="s">
        <v>16</v>
      </c>
      <c r="E5125" s="4">
        <f>249.13*(1-Z1%)</f>
        <v>249.13</v>
      </c>
      <c r="F5125" s="2">
        <v>19</v>
      </c>
      <c r="G5125" s="2"/>
    </row>
    <row r="5126" spans="1:26" customHeight="1" ht="18" hidden="true" outlineLevel="2">
      <c r="A5126" s="2" t="s">
        <v>9679</v>
      </c>
      <c r="B5126" s="3" t="s">
        <v>9680</v>
      </c>
      <c r="C5126" s="2"/>
      <c r="D5126" s="2" t="s">
        <v>16</v>
      </c>
      <c r="E5126" s="4">
        <f>249.13*(1-Z1%)</f>
        <v>249.13</v>
      </c>
      <c r="F5126" s="2">
        <v>28</v>
      </c>
      <c r="G5126" s="2"/>
    </row>
    <row r="5127" spans="1:26" customHeight="1" ht="18" hidden="true" outlineLevel="2">
      <c r="A5127" s="2" t="s">
        <v>9681</v>
      </c>
      <c r="B5127" s="3" t="s">
        <v>9682</v>
      </c>
      <c r="C5127" s="2"/>
      <c r="D5127" s="2" t="s">
        <v>16</v>
      </c>
      <c r="E5127" s="4">
        <f>241.88*(1-Z1%)</f>
        <v>241.88</v>
      </c>
      <c r="F5127" s="2">
        <v>25</v>
      </c>
      <c r="G5127" s="2"/>
    </row>
    <row r="5128" spans="1:26" customHeight="1" ht="18" hidden="true" outlineLevel="2">
      <c r="A5128" s="2" t="s">
        <v>9683</v>
      </c>
      <c r="B5128" s="3" t="s">
        <v>9684</v>
      </c>
      <c r="C5128" s="2"/>
      <c r="D5128" s="2" t="s">
        <v>16</v>
      </c>
      <c r="E5128" s="4">
        <f>249.13*(1-Z1%)</f>
        <v>249.13</v>
      </c>
      <c r="F5128" s="2">
        <v>27</v>
      </c>
      <c r="G5128" s="2"/>
    </row>
    <row r="5129" spans="1:26" customHeight="1" ht="18" hidden="true" outlineLevel="2">
      <c r="A5129" s="2" t="s">
        <v>9685</v>
      </c>
      <c r="B5129" s="3" t="s">
        <v>9686</v>
      </c>
      <c r="C5129" s="2"/>
      <c r="D5129" s="2" t="s">
        <v>16</v>
      </c>
      <c r="E5129" s="4">
        <f>247.50*(1-Z1%)</f>
        <v>247.5</v>
      </c>
      <c r="F5129" s="2">
        <v>8</v>
      </c>
      <c r="G5129" s="2"/>
    </row>
    <row r="5130" spans="1:26" customHeight="1" ht="18" hidden="true" outlineLevel="2">
      <c r="A5130" s="2" t="s">
        <v>9687</v>
      </c>
      <c r="B5130" s="3" t="s">
        <v>9688</v>
      </c>
      <c r="C5130" s="2"/>
      <c r="D5130" s="2" t="s">
        <v>16</v>
      </c>
      <c r="E5130" s="4">
        <f>247.50*(1-Z1%)</f>
        <v>247.5</v>
      </c>
      <c r="F5130" s="2">
        <v>9</v>
      </c>
      <c r="G5130" s="2"/>
    </row>
    <row r="5131" spans="1:26" customHeight="1" ht="18" hidden="true" outlineLevel="2">
      <c r="A5131" s="2" t="s">
        <v>9689</v>
      </c>
      <c r="B5131" s="3" t="s">
        <v>9690</v>
      </c>
      <c r="C5131" s="2"/>
      <c r="D5131" s="2" t="s">
        <v>16</v>
      </c>
      <c r="E5131" s="4">
        <f>241.88*(1-Z1%)</f>
        <v>241.88</v>
      </c>
      <c r="F5131" s="2">
        <v>16</v>
      </c>
      <c r="G5131" s="2"/>
    </row>
    <row r="5132" spans="1:26" customHeight="1" ht="18" hidden="true" outlineLevel="2">
      <c r="A5132" s="2" t="s">
        <v>9691</v>
      </c>
      <c r="B5132" s="3" t="s">
        <v>9692</v>
      </c>
      <c r="C5132" s="2"/>
      <c r="D5132" s="2" t="s">
        <v>16</v>
      </c>
      <c r="E5132" s="4">
        <f>241.88*(1-Z1%)</f>
        <v>241.88</v>
      </c>
      <c r="F5132" s="2">
        <v>8</v>
      </c>
      <c r="G5132" s="2"/>
    </row>
    <row r="5133" spans="1:26" customHeight="1" ht="18" hidden="true" outlineLevel="2">
      <c r="A5133" s="2" t="s">
        <v>9693</v>
      </c>
      <c r="B5133" s="3" t="s">
        <v>9694</v>
      </c>
      <c r="C5133" s="2"/>
      <c r="D5133" s="2" t="s">
        <v>16</v>
      </c>
      <c r="E5133" s="4">
        <f>241.88*(1-Z1%)</f>
        <v>241.88</v>
      </c>
      <c r="F5133" s="2">
        <v>10</v>
      </c>
      <c r="G5133" s="2"/>
    </row>
    <row r="5134" spans="1:26" customHeight="1" ht="18" hidden="true" outlineLevel="2">
      <c r="A5134" s="2" t="s">
        <v>9695</v>
      </c>
      <c r="B5134" s="3" t="s">
        <v>9696</v>
      </c>
      <c r="C5134" s="2"/>
      <c r="D5134" s="2" t="s">
        <v>16</v>
      </c>
      <c r="E5134" s="4">
        <f>241.88*(1-Z1%)</f>
        <v>241.88</v>
      </c>
      <c r="F5134" s="2">
        <v>38</v>
      </c>
      <c r="G5134" s="2"/>
    </row>
    <row r="5135" spans="1:26" customHeight="1" ht="18" hidden="true" outlineLevel="2">
      <c r="A5135" s="2" t="s">
        <v>9697</v>
      </c>
      <c r="B5135" s="3" t="s">
        <v>9698</v>
      </c>
      <c r="C5135" s="2"/>
      <c r="D5135" s="2" t="s">
        <v>16</v>
      </c>
      <c r="E5135" s="4">
        <f>247.50*(1-Z1%)</f>
        <v>247.5</v>
      </c>
      <c r="F5135" s="2">
        <v>17</v>
      </c>
      <c r="G5135" s="2"/>
    </row>
    <row r="5136" spans="1:26" customHeight="1" ht="18" hidden="true" outlineLevel="2">
      <c r="A5136" s="2" t="s">
        <v>9699</v>
      </c>
      <c r="B5136" s="3" t="s">
        <v>9700</v>
      </c>
      <c r="C5136" s="2"/>
      <c r="D5136" s="2" t="s">
        <v>16</v>
      </c>
      <c r="E5136" s="4">
        <f>247.50*(1-Z1%)</f>
        <v>247.5</v>
      </c>
      <c r="F5136" s="2">
        <v>26</v>
      </c>
      <c r="G5136" s="2"/>
    </row>
    <row r="5137" spans="1:26" customHeight="1" ht="18" hidden="true" outlineLevel="2">
      <c r="A5137" s="2" t="s">
        <v>9701</v>
      </c>
      <c r="B5137" s="3" t="s">
        <v>9702</v>
      </c>
      <c r="C5137" s="2"/>
      <c r="D5137" s="2" t="s">
        <v>16</v>
      </c>
      <c r="E5137" s="4">
        <f>254.93*(1-Z1%)</f>
        <v>254.93</v>
      </c>
      <c r="F5137" s="2">
        <v>17</v>
      </c>
      <c r="G5137" s="2"/>
    </row>
    <row r="5138" spans="1:26" customHeight="1" ht="18" hidden="true" outlineLevel="2">
      <c r="A5138" s="2" t="s">
        <v>9703</v>
      </c>
      <c r="B5138" s="3" t="s">
        <v>9704</v>
      </c>
      <c r="C5138" s="2"/>
      <c r="D5138" s="2" t="s">
        <v>16</v>
      </c>
      <c r="E5138" s="4">
        <f>1665.00*(1-Z1%)</f>
        <v>1665</v>
      </c>
      <c r="F5138" s="2">
        <v>2</v>
      </c>
      <c r="G5138" s="2"/>
    </row>
    <row r="5139" spans="1:26" customHeight="1" ht="18" hidden="true" outlineLevel="2">
      <c r="A5139" s="2" t="s">
        <v>9705</v>
      </c>
      <c r="B5139" s="3" t="s">
        <v>9706</v>
      </c>
      <c r="C5139" s="2"/>
      <c r="D5139" s="2" t="s">
        <v>16</v>
      </c>
      <c r="E5139" s="4">
        <f>1631.25*(1-Z1%)</f>
        <v>1631.25</v>
      </c>
      <c r="F5139" s="2">
        <v>1</v>
      </c>
      <c r="G5139" s="2"/>
    </row>
    <row r="5140" spans="1:26" customHeight="1" ht="18" hidden="true" outlineLevel="2">
      <c r="A5140" s="2" t="s">
        <v>9707</v>
      </c>
      <c r="B5140" s="3" t="s">
        <v>9708</v>
      </c>
      <c r="C5140" s="2"/>
      <c r="D5140" s="2" t="s">
        <v>16</v>
      </c>
      <c r="E5140" s="4">
        <f>1631.25*(1-Z1%)</f>
        <v>1631.25</v>
      </c>
      <c r="F5140" s="2">
        <v>2</v>
      </c>
      <c r="G5140" s="2"/>
    </row>
    <row r="5141" spans="1:26" customHeight="1" ht="18" hidden="true" outlineLevel="2">
      <c r="A5141" s="2" t="s">
        <v>9709</v>
      </c>
      <c r="B5141" s="3" t="s">
        <v>9710</v>
      </c>
      <c r="C5141" s="2"/>
      <c r="D5141" s="2" t="s">
        <v>16</v>
      </c>
      <c r="E5141" s="4">
        <f>1743.75*(1-Z1%)</f>
        <v>1743.75</v>
      </c>
      <c r="F5141" s="2">
        <v>3</v>
      </c>
      <c r="G5141" s="2"/>
    </row>
    <row r="5142" spans="1:26" customHeight="1" ht="18" hidden="true" outlineLevel="2">
      <c r="A5142" s="2" t="s">
        <v>9711</v>
      </c>
      <c r="B5142" s="3" t="s">
        <v>9712</v>
      </c>
      <c r="C5142" s="2"/>
      <c r="D5142" s="2" t="s">
        <v>16</v>
      </c>
      <c r="E5142" s="4">
        <f>1631.25*(1-Z1%)</f>
        <v>1631.25</v>
      </c>
      <c r="F5142" s="2">
        <v>2</v>
      </c>
      <c r="G5142" s="2"/>
    </row>
    <row r="5143" spans="1:26" customHeight="1" ht="18" hidden="true" outlineLevel="2">
      <c r="A5143" s="2" t="s">
        <v>9713</v>
      </c>
      <c r="B5143" s="3" t="s">
        <v>9714</v>
      </c>
      <c r="C5143" s="2"/>
      <c r="D5143" s="2" t="s">
        <v>16</v>
      </c>
      <c r="E5143" s="4">
        <f>1631.25*(1-Z1%)</f>
        <v>1631.25</v>
      </c>
      <c r="F5143" s="2">
        <v>2</v>
      </c>
      <c r="G5143" s="2"/>
    </row>
    <row r="5144" spans="1:26" customHeight="1" ht="18" hidden="true" outlineLevel="2">
      <c r="A5144" s="2" t="s">
        <v>9715</v>
      </c>
      <c r="B5144" s="3" t="s">
        <v>9716</v>
      </c>
      <c r="C5144" s="2"/>
      <c r="D5144" s="2" t="s">
        <v>16</v>
      </c>
      <c r="E5144" s="4">
        <f>303.75*(1-Z1%)</f>
        <v>303.75</v>
      </c>
      <c r="F5144" s="2">
        <v>1</v>
      </c>
      <c r="G5144" s="2"/>
    </row>
    <row r="5145" spans="1:26" customHeight="1" ht="18" hidden="true" outlineLevel="2">
      <c r="A5145" s="2" t="s">
        <v>9717</v>
      </c>
      <c r="B5145" s="3" t="s">
        <v>9718</v>
      </c>
      <c r="C5145" s="2"/>
      <c r="D5145" s="2" t="s">
        <v>16</v>
      </c>
      <c r="E5145" s="4">
        <f>331.88*(1-Z1%)</f>
        <v>331.88</v>
      </c>
      <c r="F5145" s="2">
        <v>2</v>
      </c>
      <c r="G5145" s="2"/>
    </row>
    <row r="5146" spans="1:26" customHeight="1" ht="18" hidden="true" outlineLevel="2">
      <c r="A5146" s="2" t="s">
        <v>9719</v>
      </c>
      <c r="B5146" s="3" t="s">
        <v>9720</v>
      </c>
      <c r="C5146" s="2"/>
      <c r="D5146" s="2" t="s">
        <v>16</v>
      </c>
      <c r="E5146" s="4">
        <f>303.75*(1-Z1%)</f>
        <v>303.75</v>
      </c>
      <c r="F5146" s="2">
        <v>20</v>
      </c>
      <c r="G5146" s="2"/>
    </row>
    <row r="5147" spans="1:26" customHeight="1" ht="18" hidden="true" outlineLevel="2">
      <c r="A5147" s="2" t="s">
        <v>9721</v>
      </c>
      <c r="B5147" s="3" t="s">
        <v>9722</v>
      </c>
      <c r="C5147" s="2"/>
      <c r="D5147" s="2" t="s">
        <v>16</v>
      </c>
      <c r="E5147" s="4">
        <f>303.75*(1-Z1%)</f>
        <v>303.75</v>
      </c>
      <c r="F5147" s="2">
        <v>16</v>
      </c>
      <c r="G5147" s="2"/>
    </row>
    <row r="5148" spans="1:26" customHeight="1" ht="18" hidden="true" outlineLevel="2">
      <c r="A5148" s="2" t="s">
        <v>9723</v>
      </c>
      <c r="B5148" s="3" t="s">
        <v>9724</v>
      </c>
      <c r="C5148" s="2"/>
      <c r="D5148" s="2" t="s">
        <v>16</v>
      </c>
      <c r="E5148" s="4">
        <f>303.75*(1-Z1%)</f>
        <v>303.75</v>
      </c>
      <c r="F5148" s="2">
        <v>14</v>
      </c>
      <c r="G5148" s="2"/>
    </row>
    <row r="5149" spans="1:26" customHeight="1" ht="18" hidden="true" outlineLevel="2">
      <c r="A5149" s="2" t="s">
        <v>9725</v>
      </c>
      <c r="B5149" s="3" t="s">
        <v>9726</v>
      </c>
      <c r="C5149" s="2"/>
      <c r="D5149" s="2" t="s">
        <v>16</v>
      </c>
      <c r="E5149" s="4">
        <f>303.75*(1-Z1%)</f>
        <v>303.75</v>
      </c>
      <c r="F5149" s="2">
        <v>20</v>
      </c>
      <c r="G5149" s="2"/>
    </row>
    <row r="5150" spans="1:26" customHeight="1" ht="18" hidden="true" outlineLevel="2">
      <c r="A5150" s="2" t="s">
        <v>9727</v>
      </c>
      <c r="B5150" s="3" t="s">
        <v>9728</v>
      </c>
      <c r="C5150" s="2"/>
      <c r="D5150" s="2" t="s">
        <v>16</v>
      </c>
      <c r="E5150" s="4">
        <f>303.75*(1-Z1%)</f>
        <v>303.75</v>
      </c>
      <c r="F5150" s="2">
        <v>19</v>
      </c>
      <c r="G5150" s="2"/>
    </row>
    <row r="5151" spans="1:26" customHeight="1" ht="18" hidden="true" outlineLevel="2">
      <c r="A5151" s="2" t="s">
        <v>9729</v>
      </c>
      <c r="B5151" s="3" t="s">
        <v>9730</v>
      </c>
      <c r="C5151" s="2"/>
      <c r="D5151" s="2" t="s">
        <v>16</v>
      </c>
      <c r="E5151" s="4">
        <f>303.75*(1-Z1%)</f>
        <v>303.75</v>
      </c>
      <c r="F5151" s="2">
        <v>18</v>
      </c>
      <c r="G5151" s="2"/>
    </row>
    <row r="5152" spans="1:26" customHeight="1" ht="18" hidden="true" outlineLevel="2">
      <c r="A5152" s="2" t="s">
        <v>9731</v>
      </c>
      <c r="B5152" s="3" t="s">
        <v>9732</v>
      </c>
      <c r="C5152" s="2"/>
      <c r="D5152" s="2" t="s">
        <v>16</v>
      </c>
      <c r="E5152" s="4">
        <f>303.75*(1-Z1%)</f>
        <v>303.75</v>
      </c>
      <c r="F5152" s="2">
        <v>22</v>
      </c>
      <c r="G5152" s="2"/>
    </row>
    <row r="5153" spans="1:26" customHeight="1" ht="18" hidden="true" outlineLevel="2">
      <c r="A5153" s="2" t="s">
        <v>9733</v>
      </c>
      <c r="B5153" s="3" t="s">
        <v>9734</v>
      </c>
      <c r="C5153" s="2"/>
      <c r="D5153" s="2" t="s">
        <v>16</v>
      </c>
      <c r="E5153" s="4">
        <f>315.00*(1-Z1%)</f>
        <v>315</v>
      </c>
      <c r="F5153" s="2">
        <v>18</v>
      </c>
      <c r="G5153" s="2"/>
    </row>
    <row r="5154" spans="1:26" customHeight="1" ht="18" hidden="true" outlineLevel="2">
      <c r="A5154" s="2" t="s">
        <v>9735</v>
      </c>
      <c r="B5154" s="3" t="s">
        <v>9736</v>
      </c>
      <c r="C5154" s="2"/>
      <c r="D5154" s="2" t="s">
        <v>16</v>
      </c>
      <c r="E5154" s="4">
        <f>315.00*(1-Z1%)</f>
        <v>315</v>
      </c>
      <c r="F5154" s="2">
        <v>19</v>
      </c>
      <c r="G5154" s="2"/>
    </row>
    <row r="5155" spans="1:26" customHeight="1" ht="18" hidden="true" outlineLevel="2">
      <c r="A5155" s="2" t="s">
        <v>9737</v>
      </c>
      <c r="B5155" s="3" t="s">
        <v>9738</v>
      </c>
      <c r="C5155" s="2"/>
      <c r="D5155" s="2" t="s">
        <v>16</v>
      </c>
      <c r="E5155" s="4">
        <f>318.65*(1-Z1%)</f>
        <v>318.65</v>
      </c>
      <c r="F5155" s="2">
        <v>26</v>
      </c>
      <c r="G5155" s="2"/>
    </row>
    <row r="5156" spans="1:26" customHeight="1" ht="18" hidden="true" outlineLevel="2">
      <c r="A5156" s="2" t="s">
        <v>9739</v>
      </c>
      <c r="B5156" s="3" t="s">
        <v>9740</v>
      </c>
      <c r="C5156" s="2"/>
      <c r="D5156" s="2" t="s">
        <v>16</v>
      </c>
      <c r="E5156" s="4">
        <f>292.50*(1-Z1%)</f>
        <v>292.5</v>
      </c>
      <c r="F5156" s="2">
        <v>19</v>
      </c>
      <c r="G5156" s="2"/>
    </row>
    <row r="5157" spans="1:26" customHeight="1" ht="18" hidden="true" outlineLevel="2">
      <c r="A5157" s="2" t="s">
        <v>9741</v>
      </c>
      <c r="B5157" s="3" t="s">
        <v>9742</v>
      </c>
      <c r="C5157" s="2"/>
      <c r="D5157" s="2" t="s">
        <v>16</v>
      </c>
      <c r="E5157" s="4">
        <f>292.50*(1-Z1%)</f>
        <v>292.5</v>
      </c>
      <c r="F5157" s="2">
        <v>77</v>
      </c>
      <c r="G5157" s="2"/>
    </row>
    <row r="5158" spans="1:26" customHeight="1" ht="18" hidden="true" outlineLevel="2">
      <c r="A5158" s="2" t="s">
        <v>9743</v>
      </c>
      <c r="B5158" s="3" t="s">
        <v>9744</v>
      </c>
      <c r="C5158" s="2"/>
      <c r="D5158" s="2" t="s">
        <v>16</v>
      </c>
      <c r="E5158" s="4">
        <f>292.50*(1-Z1%)</f>
        <v>292.5</v>
      </c>
      <c r="F5158" s="2">
        <v>40</v>
      </c>
      <c r="G5158" s="2"/>
    </row>
    <row r="5159" spans="1:26" customHeight="1" ht="18" hidden="true" outlineLevel="2">
      <c r="A5159" s="2" t="s">
        <v>9745</v>
      </c>
      <c r="B5159" s="3" t="s">
        <v>9746</v>
      </c>
      <c r="C5159" s="2"/>
      <c r="D5159" s="2" t="s">
        <v>16</v>
      </c>
      <c r="E5159" s="4">
        <f>292.50*(1-Z1%)</f>
        <v>292.5</v>
      </c>
      <c r="F5159" s="2">
        <v>40</v>
      </c>
      <c r="G5159" s="2"/>
    </row>
    <row r="5160" spans="1:26" customHeight="1" ht="18" hidden="true" outlineLevel="2">
      <c r="A5160" s="2" t="s">
        <v>9747</v>
      </c>
      <c r="B5160" s="3" t="s">
        <v>9748</v>
      </c>
      <c r="C5160" s="2"/>
      <c r="D5160" s="2" t="s">
        <v>16</v>
      </c>
      <c r="E5160" s="4">
        <f>292.50*(1-Z1%)</f>
        <v>292.5</v>
      </c>
      <c r="F5160" s="2">
        <v>45</v>
      </c>
      <c r="G5160" s="2"/>
    </row>
    <row r="5161" spans="1:26" customHeight="1" ht="18" hidden="true" outlineLevel="2">
      <c r="A5161" s="2" t="s">
        <v>9749</v>
      </c>
      <c r="B5161" s="3" t="s">
        <v>9750</v>
      </c>
      <c r="C5161" s="2"/>
      <c r="D5161" s="2" t="s">
        <v>16</v>
      </c>
      <c r="E5161" s="4">
        <f>337.50*(1-Z1%)</f>
        <v>337.5</v>
      </c>
      <c r="F5161" s="2">
        <v>22</v>
      </c>
      <c r="G5161" s="2"/>
    </row>
    <row r="5162" spans="1:26" customHeight="1" ht="18" hidden="true" outlineLevel="2">
      <c r="A5162" s="2" t="s">
        <v>9751</v>
      </c>
      <c r="B5162" s="3" t="s">
        <v>9752</v>
      </c>
      <c r="C5162" s="2"/>
      <c r="D5162" s="2" t="s">
        <v>16</v>
      </c>
      <c r="E5162" s="4">
        <f>348.75*(1-Z1%)</f>
        <v>348.75</v>
      </c>
      <c r="F5162" s="2">
        <v>28</v>
      </c>
      <c r="G5162" s="2"/>
    </row>
    <row r="5163" spans="1:26" customHeight="1" ht="18" hidden="true" outlineLevel="2">
      <c r="A5163" s="2" t="s">
        <v>9753</v>
      </c>
      <c r="B5163" s="3" t="s">
        <v>9754</v>
      </c>
      <c r="C5163" s="2"/>
      <c r="D5163" s="2" t="s">
        <v>16</v>
      </c>
      <c r="E5163" s="4">
        <f>376.60*(1-Z1%)</f>
        <v>376.6</v>
      </c>
      <c r="F5163" s="2">
        <v>22</v>
      </c>
      <c r="G5163" s="2"/>
    </row>
    <row r="5164" spans="1:26" customHeight="1" ht="18" hidden="true" outlineLevel="2">
      <c r="A5164" s="2" t="s">
        <v>9755</v>
      </c>
      <c r="B5164" s="3" t="s">
        <v>9756</v>
      </c>
      <c r="C5164" s="2"/>
      <c r="D5164" s="2" t="s">
        <v>16</v>
      </c>
      <c r="E5164" s="4">
        <f>348.75*(1-Z1%)</f>
        <v>348.75</v>
      </c>
      <c r="F5164" s="2">
        <v>17</v>
      </c>
      <c r="G5164" s="2"/>
    </row>
    <row r="5165" spans="1:26" customHeight="1" ht="18" hidden="true" outlineLevel="2">
      <c r="A5165" s="2" t="s">
        <v>9757</v>
      </c>
      <c r="B5165" s="3" t="s">
        <v>9758</v>
      </c>
      <c r="C5165" s="2"/>
      <c r="D5165" s="2" t="s">
        <v>16</v>
      </c>
      <c r="E5165" s="4">
        <f>341.83*(1-Z1%)</f>
        <v>341.83</v>
      </c>
      <c r="F5165" s="2">
        <v>3</v>
      </c>
      <c r="G5165" s="2"/>
    </row>
    <row r="5166" spans="1:26" customHeight="1" ht="18" hidden="true" outlineLevel="2">
      <c r="A5166" s="2" t="s">
        <v>9759</v>
      </c>
      <c r="B5166" s="3" t="s">
        <v>9760</v>
      </c>
      <c r="C5166" s="2"/>
      <c r="D5166" s="2" t="s">
        <v>16</v>
      </c>
      <c r="E5166" s="4">
        <f>318.65*(1-Z1%)</f>
        <v>318.65</v>
      </c>
      <c r="F5166" s="2">
        <v>1</v>
      </c>
      <c r="G5166" s="2"/>
    </row>
    <row r="5167" spans="1:26" customHeight="1" ht="18" hidden="true" outlineLevel="2">
      <c r="A5167" s="2" t="s">
        <v>9761</v>
      </c>
      <c r="B5167" s="3" t="s">
        <v>9762</v>
      </c>
      <c r="C5167" s="2"/>
      <c r="D5167" s="2" t="s">
        <v>16</v>
      </c>
      <c r="E5167" s="4">
        <f>353.42*(1-Z1%)</f>
        <v>353.42</v>
      </c>
      <c r="F5167" s="2">
        <v>7</v>
      </c>
      <c r="G5167" s="2"/>
    </row>
    <row r="5168" spans="1:26" customHeight="1" ht="18" hidden="true" outlineLevel="2">
      <c r="A5168" s="2" t="s">
        <v>9763</v>
      </c>
      <c r="B5168" s="3" t="s">
        <v>9764</v>
      </c>
      <c r="C5168" s="2"/>
      <c r="D5168" s="2" t="s">
        <v>16</v>
      </c>
      <c r="E5168" s="4">
        <f>360.00*(1-Z1%)</f>
        <v>360</v>
      </c>
      <c r="F5168" s="2">
        <v>20</v>
      </c>
      <c r="G5168" s="2"/>
    </row>
    <row r="5169" spans="1:26" customHeight="1" ht="18" hidden="true" outlineLevel="2">
      <c r="A5169" s="2" t="s">
        <v>9765</v>
      </c>
      <c r="B5169" s="3" t="s">
        <v>9766</v>
      </c>
      <c r="C5169" s="2"/>
      <c r="D5169" s="2" t="s">
        <v>16</v>
      </c>
      <c r="E5169" s="4">
        <f>303.75*(1-Z1%)</f>
        <v>303.75</v>
      </c>
      <c r="F5169" s="2">
        <v>15</v>
      </c>
      <c r="G5169" s="2"/>
    </row>
    <row r="5170" spans="1:26" customHeight="1" ht="18" hidden="true" outlineLevel="2">
      <c r="A5170" s="2" t="s">
        <v>9767</v>
      </c>
      <c r="B5170" s="3" t="s">
        <v>9768</v>
      </c>
      <c r="C5170" s="2"/>
      <c r="D5170" s="2" t="s">
        <v>16</v>
      </c>
      <c r="E5170" s="4">
        <f>303.75*(1-Z1%)</f>
        <v>303.75</v>
      </c>
      <c r="F5170" s="2">
        <v>15</v>
      </c>
      <c r="G5170" s="2"/>
    </row>
    <row r="5171" spans="1:26" customHeight="1" ht="18" hidden="true" outlineLevel="2">
      <c r="A5171" s="2" t="s">
        <v>9769</v>
      </c>
      <c r="B5171" s="3" t="s">
        <v>9770</v>
      </c>
      <c r="C5171" s="2"/>
      <c r="D5171" s="2" t="s">
        <v>16</v>
      </c>
      <c r="E5171" s="4">
        <f>292.50*(1-Z1%)</f>
        <v>292.5</v>
      </c>
      <c r="F5171" s="2">
        <v>5</v>
      </c>
      <c r="G5171" s="2"/>
    </row>
    <row r="5172" spans="1:26" customHeight="1" ht="18" hidden="true" outlineLevel="2">
      <c r="A5172" s="2" t="s">
        <v>9771</v>
      </c>
      <c r="B5172" s="3" t="s">
        <v>9772</v>
      </c>
      <c r="C5172" s="2"/>
      <c r="D5172" s="2" t="s">
        <v>16</v>
      </c>
      <c r="E5172" s="4">
        <f>292.50*(1-Z1%)</f>
        <v>292.5</v>
      </c>
      <c r="F5172" s="2">
        <v>10</v>
      </c>
      <c r="G5172" s="2"/>
    </row>
    <row r="5173" spans="1:26" customHeight="1" ht="18" hidden="true" outlineLevel="2">
      <c r="A5173" s="2" t="s">
        <v>9773</v>
      </c>
      <c r="B5173" s="3" t="s">
        <v>9774</v>
      </c>
      <c r="C5173" s="2"/>
      <c r="D5173" s="2" t="s">
        <v>16</v>
      </c>
      <c r="E5173" s="4">
        <f>281.25*(1-Z1%)</f>
        <v>281.25</v>
      </c>
      <c r="F5173" s="2">
        <v>1</v>
      </c>
      <c r="G5173" s="2"/>
    </row>
    <row r="5174" spans="1:26" customHeight="1" ht="18" hidden="true" outlineLevel="2">
      <c r="A5174" s="2" t="s">
        <v>9775</v>
      </c>
      <c r="B5174" s="3" t="s">
        <v>9776</v>
      </c>
      <c r="C5174" s="2"/>
      <c r="D5174" s="2" t="s">
        <v>16</v>
      </c>
      <c r="E5174" s="4">
        <f>292.50*(1-Z1%)</f>
        <v>292.5</v>
      </c>
      <c r="F5174" s="2">
        <v>9</v>
      </c>
      <c r="G5174" s="2"/>
    </row>
    <row r="5175" spans="1:26" customHeight="1" ht="18" hidden="true" outlineLevel="2">
      <c r="A5175" s="2" t="s">
        <v>9777</v>
      </c>
      <c r="B5175" s="3" t="s">
        <v>9778</v>
      </c>
      <c r="C5175" s="2"/>
      <c r="D5175" s="2" t="s">
        <v>16</v>
      </c>
      <c r="E5175" s="4">
        <f>348.75*(1-Z1%)</f>
        <v>348.75</v>
      </c>
      <c r="F5175" s="2">
        <v>22</v>
      </c>
      <c r="G5175" s="2"/>
    </row>
    <row r="5176" spans="1:26" customHeight="1" ht="18" hidden="true" outlineLevel="2">
      <c r="A5176" s="2" t="s">
        <v>9779</v>
      </c>
      <c r="B5176" s="3" t="s">
        <v>9780</v>
      </c>
      <c r="C5176" s="2"/>
      <c r="D5176" s="2" t="s">
        <v>16</v>
      </c>
      <c r="E5176" s="4">
        <f>292.50*(1-Z1%)</f>
        <v>292.5</v>
      </c>
      <c r="F5176" s="2">
        <v>6</v>
      </c>
      <c r="G5176" s="2"/>
    </row>
    <row r="5177" spans="1:26" customHeight="1" ht="18" hidden="true" outlineLevel="2">
      <c r="A5177" s="2" t="s">
        <v>9781</v>
      </c>
      <c r="B5177" s="3" t="s">
        <v>9782</v>
      </c>
      <c r="C5177" s="2"/>
      <c r="D5177" s="2" t="s">
        <v>16</v>
      </c>
      <c r="E5177" s="4">
        <f>348.75*(1-Z1%)</f>
        <v>348.75</v>
      </c>
      <c r="F5177" s="2">
        <v>10</v>
      </c>
      <c r="G5177" s="2"/>
    </row>
    <row r="5178" spans="1:26" customHeight="1" ht="18" hidden="true" outlineLevel="2">
      <c r="A5178" s="2" t="s">
        <v>9783</v>
      </c>
      <c r="B5178" s="3" t="s">
        <v>9784</v>
      </c>
      <c r="C5178" s="2"/>
      <c r="D5178" s="2" t="s">
        <v>16</v>
      </c>
      <c r="E5178" s="4">
        <f>292.50*(1-Z1%)</f>
        <v>292.5</v>
      </c>
      <c r="F5178" s="2">
        <v>6</v>
      </c>
      <c r="G5178" s="2"/>
    </row>
    <row r="5179" spans="1:26" customHeight="1" ht="18" hidden="true" outlineLevel="2">
      <c r="A5179" s="2" t="s">
        <v>9785</v>
      </c>
      <c r="B5179" s="3" t="s">
        <v>9786</v>
      </c>
      <c r="C5179" s="2"/>
      <c r="D5179" s="2" t="s">
        <v>16</v>
      </c>
      <c r="E5179" s="4">
        <f>303.75*(1-Z1%)</f>
        <v>303.75</v>
      </c>
      <c r="F5179" s="2">
        <v>10</v>
      </c>
      <c r="G5179" s="2"/>
    </row>
    <row r="5180" spans="1:26" customHeight="1" ht="18" hidden="true" outlineLevel="2">
      <c r="A5180" s="2" t="s">
        <v>9787</v>
      </c>
      <c r="B5180" s="3" t="s">
        <v>9788</v>
      </c>
      <c r="C5180" s="2"/>
      <c r="D5180" s="2" t="s">
        <v>16</v>
      </c>
      <c r="E5180" s="4">
        <f>303.75*(1-Z1%)</f>
        <v>303.75</v>
      </c>
      <c r="F5180" s="2">
        <v>8</v>
      </c>
      <c r="G5180" s="2"/>
    </row>
    <row r="5181" spans="1:26" customHeight="1" ht="18" hidden="true" outlineLevel="2">
      <c r="A5181" s="2" t="s">
        <v>9789</v>
      </c>
      <c r="B5181" s="3" t="s">
        <v>9790</v>
      </c>
      <c r="C5181" s="2"/>
      <c r="D5181" s="2" t="s">
        <v>16</v>
      </c>
      <c r="E5181" s="4">
        <f>303.75*(1-Z1%)</f>
        <v>303.75</v>
      </c>
      <c r="F5181" s="2">
        <v>7</v>
      </c>
      <c r="G5181" s="2"/>
    </row>
    <row r="5182" spans="1:26" customHeight="1" ht="18" hidden="true" outlineLevel="2">
      <c r="A5182" s="2" t="s">
        <v>9791</v>
      </c>
      <c r="B5182" s="3" t="s">
        <v>9792</v>
      </c>
      <c r="C5182" s="2"/>
      <c r="D5182" s="2" t="s">
        <v>16</v>
      </c>
      <c r="E5182" s="4">
        <f>196.88*(1-Z1%)</f>
        <v>196.88</v>
      </c>
      <c r="F5182" s="2">
        <v>16</v>
      </c>
      <c r="G5182" s="2"/>
    </row>
    <row r="5183" spans="1:26" customHeight="1" ht="18" hidden="true" outlineLevel="2">
      <c r="A5183" s="2" t="s">
        <v>9793</v>
      </c>
      <c r="B5183" s="3" t="s">
        <v>9794</v>
      </c>
      <c r="C5183" s="2"/>
      <c r="D5183" s="2" t="s">
        <v>16</v>
      </c>
      <c r="E5183" s="4">
        <f>196.88*(1-Z1%)</f>
        <v>196.88</v>
      </c>
      <c r="F5183" s="2">
        <v>19</v>
      </c>
      <c r="G5183" s="2"/>
    </row>
    <row r="5184" spans="1:26" customHeight="1" ht="18" hidden="true" outlineLevel="2">
      <c r="A5184" s="2" t="s">
        <v>9795</v>
      </c>
      <c r="B5184" s="3" t="s">
        <v>9796</v>
      </c>
      <c r="C5184" s="2"/>
      <c r="D5184" s="2" t="s">
        <v>16</v>
      </c>
      <c r="E5184" s="4">
        <f>196.88*(1-Z1%)</f>
        <v>196.88</v>
      </c>
      <c r="F5184" s="2">
        <v>20</v>
      </c>
      <c r="G5184" s="2"/>
    </row>
    <row r="5185" spans="1:26" customHeight="1" ht="18" hidden="true" outlineLevel="2">
      <c r="A5185" s="2" t="s">
        <v>9797</v>
      </c>
      <c r="B5185" s="3" t="s">
        <v>9798</v>
      </c>
      <c r="C5185" s="2"/>
      <c r="D5185" s="2" t="s">
        <v>16</v>
      </c>
      <c r="E5185" s="4">
        <f>196.88*(1-Z1%)</f>
        <v>196.88</v>
      </c>
      <c r="F5185" s="2">
        <v>20</v>
      </c>
      <c r="G5185" s="2"/>
    </row>
    <row r="5186" spans="1:26" customHeight="1" ht="18" hidden="true" outlineLevel="2">
      <c r="A5186" s="2" t="s">
        <v>9799</v>
      </c>
      <c r="B5186" s="3" t="s">
        <v>9800</v>
      </c>
      <c r="C5186" s="2"/>
      <c r="D5186" s="2" t="s">
        <v>16</v>
      </c>
      <c r="E5186" s="4">
        <f>196.88*(1-Z1%)</f>
        <v>196.88</v>
      </c>
      <c r="F5186" s="2">
        <v>19</v>
      </c>
      <c r="G5186" s="2"/>
    </row>
    <row r="5187" spans="1:26" customHeight="1" ht="18" hidden="true" outlineLevel="2">
      <c r="A5187" s="2" t="s">
        <v>9801</v>
      </c>
      <c r="B5187" s="3" t="s">
        <v>9802</v>
      </c>
      <c r="C5187" s="2"/>
      <c r="D5187" s="2" t="s">
        <v>16</v>
      </c>
      <c r="E5187" s="4">
        <f>196.88*(1-Z1%)</f>
        <v>196.88</v>
      </c>
      <c r="F5187" s="2">
        <v>19</v>
      </c>
      <c r="G5187" s="2"/>
    </row>
    <row r="5188" spans="1:26" customHeight="1" ht="18" hidden="true" outlineLevel="2">
      <c r="A5188" s="2" t="s">
        <v>9803</v>
      </c>
      <c r="B5188" s="3" t="s">
        <v>9804</v>
      </c>
      <c r="C5188" s="2"/>
      <c r="D5188" s="2" t="s">
        <v>16</v>
      </c>
      <c r="E5188" s="4">
        <f>196.88*(1-Z1%)</f>
        <v>196.88</v>
      </c>
      <c r="F5188" s="2">
        <v>11</v>
      </c>
      <c r="G5188" s="2"/>
    </row>
    <row r="5189" spans="1:26" customHeight="1" ht="18" hidden="true" outlineLevel="2">
      <c r="A5189" s="2" t="s">
        <v>9805</v>
      </c>
      <c r="B5189" s="3" t="s">
        <v>9806</v>
      </c>
      <c r="C5189" s="2"/>
      <c r="D5189" s="2" t="s">
        <v>16</v>
      </c>
      <c r="E5189" s="4">
        <f>196.88*(1-Z1%)</f>
        <v>196.88</v>
      </c>
      <c r="F5189" s="2">
        <v>6</v>
      </c>
      <c r="G5189" s="2"/>
    </row>
    <row r="5190" spans="1:26" customHeight="1" ht="18" hidden="true" outlineLevel="2">
      <c r="A5190" s="2" t="s">
        <v>9807</v>
      </c>
      <c r="B5190" s="3" t="s">
        <v>9808</v>
      </c>
      <c r="C5190" s="2"/>
      <c r="D5190" s="2" t="s">
        <v>16</v>
      </c>
      <c r="E5190" s="4">
        <f>196.88*(1-Z1%)</f>
        <v>196.88</v>
      </c>
      <c r="F5190" s="2">
        <v>17</v>
      </c>
      <c r="G5190" s="2"/>
    </row>
    <row r="5191" spans="1:26" customHeight="1" ht="18" hidden="true" outlineLevel="2">
      <c r="A5191" s="2" t="s">
        <v>9809</v>
      </c>
      <c r="B5191" s="3" t="s">
        <v>9810</v>
      </c>
      <c r="C5191" s="2"/>
      <c r="D5191" s="2" t="s">
        <v>16</v>
      </c>
      <c r="E5191" s="4">
        <f>202.78*(1-Z1%)</f>
        <v>202.78</v>
      </c>
      <c r="F5191" s="2">
        <v>23</v>
      </c>
      <c r="G5191" s="2"/>
    </row>
    <row r="5192" spans="1:26" customHeight="1" ht="18" hidden="true" outlineLevel="2">
      <c r="A5192" s="2" t="s">
        <v>9811</v>
      </c>
      <c r="B5192" s="3" t="s">
        <v>9812</v>
      </c>
      <c r="C5192" s="2"/>
      <c r="D5192" s="2" t="s">
        <v>16</v>
      </c>
      <c r="E5192" s="4">
        <f>196.88*(1-Z1%)</f>
        <v>196.88</v>
      </c>
      <c r="F5192" s="2">
        <v>4</v>
      </c>
      <c r="G5192" s="2"/>
    </row>
    <row r="5193" spans="1:26" customHeight="1" ht="18" hidden="true" outlineLevel="2">
      <c r="A5193" s="2" t="s">
        <v>9813</v>
      </c>
      <c r="B5193" s="3" t="s">
        <v>9814</v>
      </c>
      <c r="C5193" s="2"/>
      <c r="D5193" s="2" t="s">
        <v>16</v>
      </c>
      <c r="E5193" s="4">
        <f>202.78*(1-Z1%)</f>
        <v>202.78</v>
      </c>
      <c r="F5193" s="2">
        <v>22</v>
      </c>
      <c r="G5193" s="2"/>
    </row>
    <row r="5194" spans="1:26" customHeight="1" ht="18" hidden="true" outlineLevel="2">
      <c r="A5194" s="2" t="s">
        <v>9815</v>
      </c>
      <c r="B5194" s="3" t="s">
        <v>9816</v>
      </c>
      <c r="C5194" s="2"/>
      <c r="D5194" s="2" t="s">
        <v>16</v>
      </c>
      <c r="E5194" s="4">
        <f>231.75*(1-Z1%)</f>
        <v>231.75</v>
      </c>
      <c r="F5194" s="2">
        <v>42</v>
      </c>
      <c r="G5194" s="2"/>
    </row>
    <row r="5195" spans="1:26" customHeight="1" ht="18" hidden="true" outlineLevel="2">
      <c r="A5195" s="2" t="s">
        <v>9817</v>
      </c>
      <c r="B5195" s="3" t="s">
        <v>9818</v>
      </c>
      <c r="C5195" s="2"/>
      <c r="D5195" s="2" t="s">
        <v>16</v>
      </c>
      <c r="E5195" s="4">
        <f>225.00*(1-Z1%)</f>
        <v>225</v>
      </c>
      <c r="F5195" s="2">
        <v>23</v>
      </c>
      <c r="G5195" s="2"/>
    </row>
    <row r="5196" spans="1:26" customHeight="1" ht="18" hidden="true" outlineLevel="2">
      <c r="A5196" s="2" t="s">
        <v>9819</v>
      </c>
      <c r="B5196" s="3" t="s">
        <v>9820</v>
      </c>
      <c r="C5196" s="2"/>
      <c r="D5196" s="2" t="s">
        <v>16</v>
      </c>
      <c r="E5196" s="4">
        <f>231.75*(1-Z1%)</f>
        <v>231.75</v>
      </c>
      <c r="F5196" s="2">
        <v>23</v>
      </c>
      <c r="G5196" s="2"/>
    </row>
    <row r="5197" spans="1:26" customHeight="1" ht="18" hidden="true" outlineLevel="2">
      <c r="A5197" s="2" t="s">
        <v>9821</v>
      </c>
      <c r="B5197" s="3" t="s">
        <v>9822</v>
      </c>
      <c r="C5197" s="2"/>
      <c r="D5197" s="2" t="s">
        <v>16</v>
      </c>
      <c r="E5197" s="4">
        <f>225.00*(1-Z1%)</f>
        <v>225</v>
      </c>
      <c r="F5197" s="2">
        <v>20</v>
      </c>
      <c r="G5197" s="2"/>
    </row>
    <row r="5198" spans="1:26" customHeight="1" ht="18" hidden="true" outlineLevel="2">
      <c r="A5198" s="2" t="s">
        <v>9823</v>
      </c>
      <c r="B5198" s="3" t="s">
        <v>9824</v>
      </c>
      <c r="C5198" s="2"/>
      <c r="D5198" s="2" t="s">
        <v>16</v>
      </c>
      <c r="E5198" s="4">
        <f>202.78*(1-Z1%)</f>
        <v>202.78</v>
      </c>
      <c r="F5198" s="2">
        <v>17</v>
      </c>
      <c r="G5198" s="2"/>
    </row>
    <row r="5199" spans="1:26" customHeight="1" ht="18" hidden="true" outlineLevel="2">
      <c r="A5199" s="2" t="s">
        <v>9825</v>
      </c>
      <c r="B5199" s="3" t="s">
        <v>9826</v>
      </c>
      <c r="C5199" s="2"/>
      <c r="D5199" s="2" t="s">
        <v>16</v>
      </c>
      <c r="E5199" s="4">
        <f>196.88*(1-Z1%)</f>
        <v>196.88</v>
      </c>
      <c r="F5199" s="2">
        <v>26</v>
      </c>
      <c r="G5199" s="2"/>
    </row>
    <row r="5200" spans="1:26" customHeight="1" ht="18" hidden="true" outlineLevel="2">
      <c r="A5200" s="2" t="s">
        <v>9827</v>
      </c>
      <c r="B5200" s="3" t="s">
        <v>9828</v>
      </c>
      <c r="C5200" s="2"/>
      <c r="D5200" s="2" t="s">
        <v>16</v>
      </c>
      <c r="E5200" s="4">
        <f>196.88*(1-Z1%)</f>
        <v>196.88</v>
      </c>
      <c r="F5200" s="2">
        <v>21</v>
      </c>
      <c r="G5200" s="2"/>
    </row>
    <row r="5201" spans="1:26" customHeight="1" ht="18" hidden="true" outlineLevel="2">
      <c r="A5201" s="2" t="s">
        <v>9829</v>
      </c>
      <c r="B5201" s="3" t="s">
        <v>9830</v>
      </c>
      <c r="C5201" s="2"/>
      <c r="D5201" s="2" t="s">
        <v>16</v>
      </c>
      <c r="E5201" s="4">
        <f>196.88*(1-Z1%)</f>
        <v>196.88</v>
      </c>
      <c r="F5201" s="2">
        <v>11</v>
      </c>
      <c r="G5201" s="2"/>
    </row>
    <row r="5202" spans="1:26" customHeight="1" ht="18" hidden="true" outlineLevel="2">
      <c r="A5202" s="2" t="s">
        <v>9831</v>
      </c>
      <c r="B5202" s="3" t="s">
        <v>9832</v>
      </c>
      <c r="C5202" s="2"/>
      <c r="D5202" s="2" t="s">
        <v>16</v>
      </c>
      <c r="E5202" s="4">
        <f>196.88*(1-Z1%)</f>
        <v>196.88</v>
      </c>
      <c r="F5202" s="2">
        <v>20</v>
      </c>
      <c r="G5202" s="2"/>
    </row>
    <row r="5203" spans="1:26" customHeight="1" ht="18" hidden="true" outlineLevel="2">
      <c r="A5203" s="2" t="s">
        <v>9833</v>
      </c>
      <c r="B5203" s="3" t="s">
        <v>9834</v>
      </c>
      <c r="C5203" s="2"/>
      <c r="D5203" s="2" t="s">
        <v>16</v>
      </c>
      <c r="E5203" s="4">
        <f>202.78*(1-Z1%)</f>
        <v>202.78</v>
      </c>
      <c r="F5203" s="2">
        <v>14</v>
      </c>
      <c r="G5203" s="2"/>
    </row>
    <row r="5204" spans="1:26" customHeight="1" ht="18" hidden="true" outlineLevel="2">
      <c r="A5204" s="2" t="s">
        <v>9835</v>
      </c>
      <c r="B5204" s="3" t="s">
        <v>9836</v>
      </c>
      <c r="C5204" s="2"/>
      <c r="D5204" s="2" t="s">
        <v>16</v>
      </c>
      <c r="E5204" s="4">
        <f>202.78*(1-Z1%)</f>
        <v>202.78</v>
      </c>
      <c r="F5204" s="2">
        <v>19</v>
      </c>
      <c r="G5204" s="2"/>
    </row>
    <row r="5205" spans="1:26" customHeight="1" ht="18" hidden="true" outlineLevel="2">
      <c r="A5205" s="2" t="s">
        <v>9837</v>
      </c>
      <c r="B5205" s="3" t="s">
        <v>9838</v>
      </c>
      <c r="C5205" s="2"/>
      <c r="D5205" s="2" t="s">
        <v>16</v>
      </c>
      <c r="E5205" s="4">
        <f>196.88*(1-Z1%)</f>
        <v>196.88</v>
      </c>
      <c r="F5205" s="2">
        <v>27</v>
      </c>
      <c r="G5205" s="2"/>
    </row>
    <row r="5206" spans="1:26" customHeight="1" ht="18" hidden="true" outlineLevel="2">
      <c r="A5206" s="2" t="s">
        <v>9839</v>
      </c>
      <c r="B5206" s="3" t="s">
        <v>9840</v>
      </c>
      <c r="C5206" s="2"/>
      <c r="D5206" s="2" t="s">
        <v>16</v>
      </c>
      <c r="E5206" s="4">
        <f>202.78*(1-Z1%)</f>
        <v>202.78</v>
      </c>
      <c r="F5206" s="2">
        <v>25</v>
      </c>
      <c r="G5206" s="2"/>
    </row>
    <row r="5207" spans="1:26" customHeight="1" ht="18" hidden="true" outlineLevel="2">
      <c r="A5207" s="2" t="s">
        <v>9841</v>
      </c>
      <c r="B5207" s="3" t="s">
        <v>9842</v>
      </c>
      <c r="C5207" s="2"/>
      <c r="D5207" s="2" t="s">
        <v>16</v>
      </c>
      <c r="E5207" s="4">
        <f>202.78*(1-Z1%)</f>
        <v>202.78</v>
      </c>
      <c r="F5207" s="2">
        <v>20</v>
      </c>
      <c r="G5207" s="2"/>
    </row>
    <row r="5208" spans="1:26" customHeight="1" ht="18" hidden="true" outlineLevel="2">
      <c r="A5208" s="2" t="s">
        <v>9843</v>
      </c>
      <c r="B5208" s="3" t="s">
        <v>9844</v>
      </c>
      <c r="C5208" s="2"/>
      <c r="D5208" s="2" t="s">
        <v>16</v>
      </c>
      <c r="E5208" s="4">
        <f>202.78*(1-Z1%)</f>
        <v>202.78</v>
      </c>
      <c r="F5208" s="2">
        <v>21</v>
      </c>
      <c r="G5208" s="2"/>
    </row>
    <row r="5209" spans="1:26" customHeight="1" ht="18" hidden="true" outlineLevel="2">
      <c r="A5209" s="2" t="s">
        <v>9845</v>
      </c>
      <c r="B5209" s="3" t="s">
        <v>9846</v>
      </c>
      <c r="C5209" s="2"/>
      <c r="D5209" s="2" t="s">
        <v>16</v>
      </c>
      <c r="E5209" s="4">
        <f>2659.33*(1-Z1%)</f>
        <v>2659.33</v>
      </c>
      <c r="F5209" s="2">
        <v>2</v>
      </c>
      <c r="G5209" s="2"/>
    </row>
    <row r="5210" spans="1:26" customHeight="1" ht="18" hidden="true" outlineLevel="2">
      <c r="A5210" s="2" t="s">
        <v>9847</v>
      </c>
      <c r="B5210" s="3" t="s">
        <v>9848</v>
      </c>
      <c r="C5210" s="2"/>
      <c r="D5210" s="2" t="s">
        <v>16</v>
      </c>
      <c r="E5210" s="4">
        <f>2659.33*(1-Z1%)</f>
        <v>2659.33</v>
      </c>
      <c r="F5210" s="2">
        <v>2</v>
      </c>
      <c r="G5210" s="2"/>
    </row>
    <row r="5211" spans="1:26" customHeight="1" ht="18" hidden="true" outlineLevel="2">
      <c r="A5211" s="2" t="s">
        <v>9849</v>
      </c>
      <c r="B5211" s="3" t="s">
        <v>9850</v>
      </c>
      <c r="C5211" s="2"/>
      <c r="D5211" s="2" t="s">
        <v>16</v>
      </c>
      <c r="E5211" s="4">
        <f>2717.27*(1-Z1%)</f>
        <v>2717.27</v>
      </c>
      <c r="F5211" s="2">
        <v>3</v>
      </c>
      <c r="G5211" s="2"/>
    </row>
    <row r="5212" spans="1:26" customHeight="1" ht="18" hidden="true" outlineLevel="2">
      <c r="A5212" s="2" t="s">
        <v>9851</v>
      </c>
      <c r="B5212" s="3" t="s">
        <v>9852</v>
      </c>
      <c r="C5212" s="2"/>
      <c r="D5212" s="2" t="s">
        <v>16</v>
      </c>
      <c r="E5212" s="4">
        <f>393.75*(1-Z1%)</f>
        <v>393.75</v>
      </c>
      <c r="F5212" s="2">
        <v>4</v>
      </c>
      <c r="G5212" s="2"/>
    </row>
    <row r="5213" spans="1:26" customHeight="1" ht="18" hidden="true" outlineLevel="2">
      <c r="A5213" s="2" t="s">
        <v>9853</v>
      </c>
      <c r="B5213" s="3" t="s">
        <v>9854</v>
      </c>
      <c r="C5213" s="2"/>
      <c r="D5213" s="2" t="s">
        <v>16</v>
      </c>
      <c r="E5213" s="4">
        <f>393.75*(1-Z1%)</f>
        <v>393.75</v>
      </c>
      <c r="F5213" s="2">
        <v>2</v>
      </c>
      <c r="G5213" s="2"/>
    </row>
    <row r="5214" spans="1:26" customHeight="1" ht="18" hidden="true" outlineLevel="2">
      <c r="A5214" s="2" t="s">
        <v>9855</v>
      </c>
      <c r="B5214" s="3" t="s">
        <v>9856</v>
      </c>
      <c r="C5214" s="2"/>
      <c r="D5214" s="2" t="s">
        <v>16</v>
      </c>
      <c r="E5214" s="4">
        <f>393.75*(1-Z1%)</f>
        <v>393.75</v>
      </c>
      <c r="F5214" s="2">
        <v>3</v>
      </c>
      <c r="G5214" s="2"/>
    </row>
    <row r="5215" spans="1:26" customHeight="1" ht="18" hidden="true" outlineLevel="2">
      <c r="A5215" s="2" t="s">
        <v>9857</v>
      </c>
      <c r="B5215" s="3" t="s">
        <v>9858</v>
      </c>
      <c r="C5215" s="2"/>
      <c r="D5215" s="2" t="s">
        <v>16</v>
      </c>
      <c r="E5215" s="4">
        <f>393.75*(1-Z1%)</f>
        <v>393.75</v>
      </c>
      <c r="F5215" s="2">
        <v>9</v>
      </c>
      <c r="G5215" s="2"/>
    </row>
    <row r="5216" spans="1:26" customHeight="1" ht="18" hidden="true" outlineLevel="2">
      <c r="A5216" s="2" t="s">
        <v>9859</v>
      </c>
      <c r="B5216" s="3" t="s">
        <v>9860</v>
      </c>
      <c r="C5216" s="2"/>
      <c r="D5216" s="2" t="s">
        <v>16</v>
      </c>
      <c r="E5216" s="4">
        <f>393.75*(1-Z1%)</f>
        <v>393.75</v>
      </c>
      <c r="F5216" s="2">
        <v>6</v>
      </c>
      <c r="G5216" s="2"/>
    </row>
    <row r="5217" spans="1:26" customHeight="1" ht="18" hidden="true" outlineLevel="2">
      <c r="A5217" s="2" t="s">
        <v>9861</v>
      </c>
      <c r="B5217" s="3" t="s">
        <v>9862</v>
      </c>
      <c r="C5217" s="2"/>
      <c r="D5217" s="2" t="s">
        <v>16</v>
      </c>
      <c r="E5217" s="4">
        <f>393.75*(1-Z1%)</f>
        <v>393.75</v>
      </c>
      <c r="F5217" s="2">
        <v>10</v>
      </c>
      <c r="G5217" s="2"/>
    </row>
    <row r="5218" spans="1:26" customHeight="1" ht="36" hidden="true" outlineLevel="2">
      <c r="A5218" s="2" t="s">
        <v>9863</v>
      </c>
      <c r="B5218" s="3" t="s">
        <v>9864</v>
      </c>
      <c r="C5218" s="2"/>
      <c r="D5218" s="2" t="s">
        <v>16</v>
      </c>
      <c r="E5218" s="4">
        <f>405.00*(1-Z1%)</f>
        <v>405</v>
      </c>
      <c r="F5218" s="2">
        <v>7</v>
      </c>
      <c r="G5218" s="2"/>
    </row>
    <row r="5219" spans="1:26" customHeight="1" ht="18" hidden="true" outlineLevel="2">
      <c r="A5219" s="2" t="s">
        <v>9865</v>
      </c>
      <c r="B5219" s="3" t="s">
        <v>9866</v>
      </c>
      <c r="C5219" s="2"/>
      <c r="D5219" s="2" t="s">
        <v>16</v>
      </c>
      <c r="E5219" s="4">
        <f>405.00*(1-Z1%)</f>
        <v>405</v>
      </c>
      <c r="F5219" s="2">
        <v>5</v>
      </c>
      <c r="G5219" s="2"/>
    </row>
    <row r="5220" spans="1:26" customHeight="1" ht="18" hidden="true" outlineLevel="2">
      <c r="A5220" s="2" t="s">
        <v>9867</v>
      </c>
      <c r="B5220" s="3" t="s">
        <v>9868</v>
      </c>
      <c r="C5220" s="2"/>
      <c r="D5220" s="2" t="s">
        <v>16</v>
      </c>
      <c r="E5220" s="4">
        <f>405.00*(1-Z1%)</f>
        <v>405</v>
      </c>
      <c r="F5220" s="2">
        <v>4</v>
      </c>
      <c r="G5220" s="2"/>
    </row>
    <row r="5221" spans="1:26" customHeight="1" ht="18" hidden="true" outlineLevel="2">
      <c r="A5221" s="2" t="s">
        <v>9869</v>
      </c>
      <c r="B5221" s="3" t="s">
        <v>9870</v>
      </c>
      <c r="C5221" s="2"/>
      <c r="D5221" s="2" t="s">
        <v>16</v>
      </c>
      <c r="E5221" s="4">
        <f>393.75*(1-Z1%)</f>
        <v>393.75</v>
      </c>
      <c r="F5221" s="2">
        <v>10</v>
      </c>
      <c r="G5221" s="2"/>
    </row>
    <row r="5222" spans="1:26" customHeight="1" ht="18" hidden="true" outlineLevel="2">
      <c r="A5222" s="2" t="s">
        <v>9871</v>
      </c>
      <c r="B5222" s="3" t="s">
        <v>9872</v>
      </c>
      <c r="C5222" s="2"/>
      <c r="D5222" s="2" t="s">
        <v>16</v>
      </c>
      <c r="E5222" s="4">
        <f>315.00*(1-Z1%)</f>
        <v>315</v>
      </c>
      <c r="F5222" s="2">
        <v>5</v>
      </c>
      <c r="G5222" s="2"/>
    </row>
    <row r="5223" spans="1:26" customHeight="1" ht="18" hidden="true" outlineLevel="2">
      <c r="A5223" s="2" t="s">
        <v>9873</v>
      </c>
      <c r="B5223" s="3" t="s">
        <v>9874</v>
      </c>
      <c r="C5223" s="2"/>
      <c r="D5223" s="2" t="s">
        <v>16</v>
      </c>
      <c r="E5223" s="4">
        <f>337.50*(1-Z1%)</f>
        <v>337.5</v>
      </c>
      <c r="F5223" s="2">
        <v>16</v>
      </c>
      <c r="G5223" s="2"/>
    </row>
    <row r="5224" spans="1:26" customHeight="1" ht="18" hidden="true" outlineLevel="2">
      <c r="A5224" s="2" t="s">
        <v>9875</v>
      </c>
      <c r="B5224" s="3" t="s">
        <v>9876</v>
      </c>
      <c r="C5224" s="2"/>
      <c r="D5224" s="2" t="s">
        <v>16</v>
      </c>
      <c r="E5224" s="4">
        <f>337.50*(1-Z1%)</f>
        <v>337.5</v>
      </c>
      <c r="F5224" s="2">
        <v>18</v>
      </c>
      <c r="G5224" s="2"/>
    </row>
    <row r="5225" spans="1:26" customHeight="1" ht="18" hidden="true" outlineLevel="2">
      <c r="A5225" s="2" t="s">
        <v>9877</v>
      </c>
      <c r="B5225" s="3" t="s">
        <v>9878</v>
      </c>
      <c r="C5225" s="2"/>
      <c r="D5225" s="2" t="s">
        <v>16</v>
      </c>
      <c r="E5225" s="4">
        <f>337.50*(1-Z1%)</f>
        <v>337.5</v>
      </c>
      <c r="F5225" s="2">
        <v>17</v>
      </c>
      <c r="G5225" s="2"/>
    </row>
    <row r="5226" spans="1:26" customHeight="1" ht="18" hidden="true" outlineLevel="2">
      <c r="A5226" s="2" t="s">
        <v>9879</v>
      </c>
      <c r="B5226" s="3" t="s">
        <v>9880</v>
      </c>
      <c r="C5226" s="2"/>
      <c r="D5226" s="2" t="s">
        <v>16</v>
      </c>
      <c r="E5226" s="4">
        <f>337.50*(1-Z1%)</f>
        <v>337.5</v>
      </c>
      <c r="F5226" s="2">
        <v>13</v>
      </c>
      <c r="G5226" s="2"/>
    </row>
    <row r="5227" spans="1:26" customHeight="1" ht="18" hidden="true" outlineLevel="2">
      <c r="A5227" s="2" t="s">
        <v>9881</v>
      </c>
      <c r="B5227" s="3" t="s">
        <v>9882</v>
      </c>
      <c r="C5227" s="2"/>
      <c r="D5227" s="2" t="s">
        <v>16</v>
      </c>
      <c r="E5227" s="4">
        <f>337.50*(1-Z1%)</f>
        <v>337.5</v>
      </c>
      <c r="F5227" s="2">
        <v>19</v>
      </c>
      <c r="G5227" s="2"/>
    </row>
    <row r="5228" spans="1:26" customHeight="1" ht="18" hidden="true" outlineLevel="2">
      <c r="A5228" s="2" t="s">
        <v>9883</v>
      </c>
      <c r="B5228" s="3" t="s">
        <v>9884</v>
      </c>
      <c r="C5228" s="2"/>
      <c r="D5228" s="2" t="s">
        <v>16</v>
      </c>
      <c r="E5228" s="4">
        <f>370.80*(1-Z1%)</f>
        <v>370.8</v>
      </c>
      <c r="F5228" s="2">
        <v>5</v>
      </c>
      <c r="G5228" s="2"/>
    </row>
    <row r="5229" spans="1:26" customHeight="1" ht="18" hidden="true" outlineLevel="2">
      <c r="A5229" s="2" t="s">
        <v>9885</v>
      </c>
      <c r="B5229" s="3" t="s">
        <v>9886</v>
      </c>
      <c r="C5229" s="2"/>
      <c r="D5229" s="2" t="s">
        <v>16</v>
      </c>
      <c r="E5229" s="4">
        <f>337.50*(1-Z1%)</f>
        <v>337.5</v>
      </c>
      <c r="F5229" s="2">
        <v>7</v>
      </c>
      <c r="G5229" s="2"/>
    </row>
    <row r="5230" spans="1:26" customHeight="1" ht="18" hidden="true" outlineLevel="2">
      <c r="A5230" s="2" t="s">
        <v>9887</v>
      </c>
      <c r="B5230" s="3" t="s">
        <v>9888</v>
      </c>
      <c r="C5230" s="2"/>
      <c r="D5230" s="2" t="s">
        <v>16</v>
      </c>
      <c r="E5230" s="4">
        <f>405.57*(1-Z1%)</f>
        <v>405.57</v>
      </c>
      <c r="F5230" s="2">
        <v>20</v>
      </c>
      <c r="G5230" s="2"/>
    </row>
    <row r="5231" spans="1:26" customHeight="1" ht="18" hidden="true" outlineLevel="2">
      <c r="A5231" s="2" t="s">
        <v>9889</v>
      </c>
      <c r="B5231" s="3" t="s">
        <v>9890</v>
      </c>
      <c r="C5231" s="2"/>
      <c r="D5231" s="2" t="s">
        <v>16</v>
      </c>
      <c r="E5231" s="4">
        <f>405.57*(1-Z1%)</f>
        <v>405.57</v>
      </c>
      <c r="F5231" s="2">
        <v>13</v>
      </c>
      <c r="G5231" s="2"/>
    </row>
    <row r="5232" spans="1:26" customHeight="1" ht="18" hidden="true" outlineLevel="2">
      <c r="A5232" s="2" t="s">
        <v>9891</v>
      </c>
      <c r="B5232" s="3" t="s">
        <v>9892</v>
      </c>
      <c r="C5232" s="2"/>
      <c r="D5232" s="2" t="s">
        <v>16</v>
      </c>
      <c r="E5232" s="4">
        <f>348.75*(1-Z1%)</f>
        <v>348.75</v>
      </c>
      <c r="F5232" s="2">
        <v>12</v>
      </c>
      <c r="G5232" s="2"/>
    </row>
    <row r="5233" spans="1:26" customHeight="1" ht="18" hidden="true" outlineLevel="2">
      <c r="A5233" s="2" t="s">
        <v>9893</v>
      </c>
      <c r="B5233" s="3" t="s">
        <v>9894</v>
      </c>
      <c r="C5233" s="2"/>
      <c r="D5233" s="2" t="s">
        <v>16</v>
      </c>
      <c r="E5233" s="4">
        <f>393.75*(1-Z1%)</f>
        <v>393.75</v>
      </c>
      <c r="F5233" s="2">
        <v>9</v>
      </c>
      <c r="G5233" s="2"/>
    </row>
    <row r="5234" spans="1:26" customHeight="1" ht="18" hidden="true" outlineLevel="2">
      <c r="A5234" s="2" t="s">
        <v>9895</v>
      </c>
      <c r="B5234" s="3" t="s">
        <v>9896</v>
      </c>
      <c r="C5234" s="2"/>
      <c r="D5234" s="2" t="s">
        <v>16</v>
      </c>
      <c r="E5234" s="4">
        <f>371.25*(1-Z1%)</f>
        <v>371.25</v>
      </c>
      <c r="F5234" s="2">
        <v>3</v>
      </c>
      <c r="G5234" s="2"/>
    </row>
    <row r="5235" spans="1:26" customHeight="1" ht="18" hidden="true" outlineLevel="2">
      <c r="A5235" s="2" t="s">
        <v>9897</v>
      </c>
      <c r="B5235" s="3" t="s">
        <v>9898</v>
      </c>
      <c r="C5235" s="2"/>
      <c r="D5235" s="2" t="s">
        <v>16</v>
      </c>
      <c r="E5235" s="4">
        <f>370.80*(1-Z1%)</f>
        <v>370.8</v>
      </c>
      <c r="F5235" s="2">
        <v>3</v>
      </c>
      <c r="G5235" s="2"/>
    </row>
    <row r="5236" spans="1:26" customHeight="1" ht="18" hidden="true" outlineLevel="2">
      <c r="A5236" s="2" t="s">
        <v>9899</v>
      </c>
      <c r="B5236" s="3" t="s">
        <v>9900</v>
      </c>
      <c r="C5236" s="2"/>
      <c r="D5236" s="2" t="s">
        <v>16</v>
      </c>
      <c r="E5236" s="4">
        <f>347.63*(1-Z1%)</f>
        <v>347.63</v>
      </c>
      <c r="F5236" s="2">
        <v>1</v>
      </c>
      <c r="G5236" s="2"/>
    </row>
    <row r="5237" spans="1:26" customHeight="1" ht="18" hidden="true" outlineLevel="2">
      <c r="A5237" s="2" t="s">
        <v>9901</v>
      </c>
      <c r="B5237" s="3" t="s">
        <v>9902</v>
      </c>
      <c r="C5237" s="2"/>
      <c r="D5237" s="2" t="s">
        <v>16</v>
      </c>
      <c r="E5237" s="4">
        <f>416.25*(1-Z1%)</f>
        <v>416.25</v>
      </c>
      <c r="F5237" s="2">
        <v>1</v>
      </c>
      <c r="G5237" s="2"/>
    </row>
    <row r="5238" spans="1:26" customHeight="1" ht="18" hidden="true" outlineLevel="2">
      <c r="A5238" s="2" t="s">
        <v>9903</v>
      </c>
      <c r="B5238" s="3" t="s">
        <v>9904</v>
      </c>
      <c r="C5238" s="2"/>
      <c r="D5238" s="2" t="s">
        <v>16</v>
      </c>
      <c r="E5238" s="4">
        <f>405.00*(1-Z1%)</f>
        <v>405</v>
      </c>
      <c r="F5238" s="2">
        <v>40</v>
      </c>
      <c r="G5238" s="2"/>
    </row>
    <row r="5239" spans="1:26" customHeight="1" ht="18" hidden="true" outlineLevel="2">
      <c r="A5239" s="2" t="s">
        <v>9905</v>
      </c>
      <c r="B5239" s="3" t="s">
        <v>9906</v>
      </c>
      <c r="C5239" s="2"/>
      <c r="D5239" s="2" t="s">
        <v>16</v>
      </c>
      <c r="E5239" s="4">
        <f>382.50*(1-Z1%)</f>
        <v>382.5</v>
      </c>
      <c r="F5239" s="2">
        <v>10</v>
      </c>
      <c r="G5239" s="2"/>
    </row>
    <row r="5240" spans="1:26" customHeight="1" ht="18" hidden="true" outlineLevel="2">
      <c r="A5240" s="2" t="s">
        <v>9907</v>
      </c>
      <c r="B5240" s="3" t="s">
        <v>9908</v>
      </c>
      <c r="C5240" s="2"/>
      <c r="D5240" s="2" t="s">
        <v>16</v>
      </c>
      <c r="E5240" s="4">
        <f>382.50*(1-Z1%)</f>
        <v>382.5</v>
      </c>
      <c r="F5240" s="2">
        <v>11</v>
      </c>
      <c r="G5240" s="2"/>
    </row>
    <row r="5241" spans="1:26" customHeight="1" ht="18" hidden="true" outlineLevel="2">
      <c r="A5241" s="2" t="s">
        <v>9909</v>
      </c>
      <c r="B5241" s="3" t="s">
        <v>9910</v>
      </c>
      <c r="C5241" s="2"/>
      <c r="D5241" s="2" t="s">
        <v>16</v>
      </c>
      <c r="E5241" s="4">
        <f>337.50*(1-Z1%)</f>
        <v>337.5</v>
      </c>
      <c r="F5241" s="2">
        <v>33</v>
      </c>
      <c r="G5241" s="2"/>
    </row>
    <row r="5242" spans="1:26" customHeight="1" ht="18" hidden="true" outlineLevel="2">
      <c r="A5242" s="2" t="s">
        <v>9911</v>
      </c>
      <c r="B5242" s="3" t="s">
        <v>9912</v>
      </c>
      <c r="C5242" s="2"/>
      <c r="D5242" s="2" t="s">
        <v>16</v>
      </c>
      <c r="E5242" s="4">
        <f>343.13*(1-Z1%)</f>
        <v>343.13</v>
      </c>
      <c r="F5242" s="2">
        <v>10</v>
      </c>
      <c r="G5242" s="2"/>
    </row>
    <row r="5243" spans="1:26" customHeight="1" ht="18" hidden="true" outlineLevel="2">
      <c r="A5243" s="2" t="s">
        <v>9913</v>
      </c>
      <c r="B5243" s="3" t="s">
        <v>9914</v>
      </c>
      <c r="C5243" s="2"/>
      <c r="D5243" s="2" t="s">
        <v>16</v>
      </c>
      <c r="E5243" s="4">
        <f>343.13*(1-Z1%)</f>
        <v>343.13</v>
      </c>
      <c r="F5243" s="2">
        <v>1</v>
      </c>
      <c r="G5243" s="2"/>
    </row>
    <row r="5244" spans="1:26" customHeight="1" ht="18" hidden="true" outlineLevel="2">
      <c r="A5244" s="2" t="s">
        <v>9915</v>
      </c>
      <c r="B5244" s="3" t="s">
        <v>9916</v>
      </c>
      <c r="C5244" s="2"/>
      <c r="D5244" s="2" t="s">
        <v>16</v>
      </c>
      <c r="E5244" s="4">
        <f>370.80*(1-Z1%)</f>
        <v>370.8</v>
      </c>
      <c r="F5244" s="2">
        <v>6</v>
      </c>
      <c r="G5244" s="2"/>
    </row>
    <row r="5245" spans="1:26" customHeight="1" ht="18" hidden="true" outlineLevel="2">
      <c r="A5245" s="2" t="s">
        <v>9917</v>
      </c>
      <c r="B5245" s="3" t="s">
        <v>9918</v>
      </c>
      <c r="C5245" s="2"/>
      <c r="D5245" s="2" t="s">
        <v>16</v>
      </c>
      <c r="E5245" s="4">
        <f>370.80*(1-Z1%)</f>
        <v>370.8</v>
      </c>
      <c r="F5245" s="2">
        <v>6</v>
      </c>
      <c r="G5245" s="2"/>
    </row>
    <row r="5246" spans="1:26" customHeight="1" ht="18" hidden="true" outlineLevel="2">
      <c r="A5246" s="2" t="s">
        <v>9919</v>
      </c>
      <c r="B5246" s="3" t="s">
        <v>9920</v>
      </c>
      <c r="C5246" s="2"/>
      <c r="D5246" s="2" t="s">
        <v>16</v>
      </c>
      <c r="E5246" s="4">
        <f>343.13*(1-Z1%)</f>
        <v>343.13</v>
      </c>
      <c r="F5246" s="2">
        <v>6</v>
      </c>
      <c r="G5246" s="2"/>
    </row>
    <row r="5247" spans="1:26" customHeight="1" ht="18" hidden="true" outlineLevel="2">
      <c r="A5247" s="2" t="s">
        <v>9921</v>
      </c>
      <c r="B5247" s="3" t="s">
        <v>9922</v>
      </c>
      <c r="C5247" s="2"/>
      <c r="D5247" s="2" t="s">
        <v>16</v>
      </c>
      <c r="E5247" s="4">
        <f>405.00*(1-Z1%)</f>
        <v>405</v>
      </c>
      <c r="F5247" s="2">
        <v>9</v>
      </c>
      <c r="G5247" s="2"/>
    </row>
    <row r="5248" spans="1:26" customHeight="1" ht="18" hidden="true" outlineLevel="2">
      <c r="A5248" s="2" t="s">
        <v>9923</v>
      </c>
      <c r="B5248" s="3" t="s">
        <v>9924</v>
      </c>
      <c r="C5248" s="2"/>
      <c r="D5248" s="2" t="s">
        <v>16</v>
      </c>
      <c r="E5248" s="4">
        <f>247.50*(1-Z1%)</f>
        <v>247.5</v>
      </c>
      <c r="F5248" s="2">
        <v>12</v>
      </c>
      <c r="G5248" s="2"/>
    </row>
    <row r="5249" spans="1:26" customHeight="1" ht="18" hidden="true" outlineLevel="2">
      <c r="A5249" s="2" t="s">
        <v>9925</v>
      </c>
      <c r="B5249" s="3" t="s">
        <v>9926</v>
      </c>
      <c r="C5249" s="2"/>
      <c r="D5249" s="2" t="s">
        <v>16</v>
      </c>
      <c r="E5249" s="4">
        <f>219.38*(1-Z1%)</f>
        <v>219.38</v>
      </c>
      <c r="F5249" s="2">
        <v>24</v>
      </c>
      <c r="G5249" s="2"/>
    </row>
    <row r="5250" spans="1:26" customHeight="1" ht="18" hidden="true" outlineLevel="2">
      <c r="A5250" s="2" t="s">
        <v>9927</v>
      </c>
      <c r="B5250" s="3" t="s">
        <v>9928</v>
      </c>
      <c r="C5250" s="2"/>
      <c r="D5250" s="2" t="s">
        <v>16</v>
      </c>
      <c r="E5250" s="4">
        <f>219.38*(1-Z1%)</f>
        <v>219.38</v>
      </c>
      <c r="F5250" s="2">
        <v>21</v>
      </c>
      <c r="G5250" s="2"/>
    </row>
    <row r="5251" spans="1:26" customHeight="1" ht="18" hidden="true" outlineLevel="2">
      <c r="A5251" s="2" t="s">
        <v>9929</v>
      </c>
      <c r="B5251" s="3" t="s">
        <v>9930</v>
      </c>
      <c r="C5251" s="2"/>
      <c r="D5251" s="2" t="s">
        <v>16</v>
      </c>
      <c r="E5251" s="4">
        <f>219.38*(1-Z1%)</f>
        <v>219.38</v>
      </c>
      <c r="F5251" s="2">
        <v>18</v>
      </c>
      <c r="G5251" s="2"/>
    </row>
    <row r="5252" spans="1:26" customHeight="1" ht="18" hidden="true" outlineLevel="2">
      <c r="A5252" s="2" t="s">
        <v>9931</v>
      </c>
      <c r="B5252" s="3" t="s">
        <v>9932</v>
      </c>
      <c r="C5252" s="2"/>
      <c r="D5252" s="2" t="s">
        <v>16</v>
      </c>
      <c r="E5252" s="4">
        <f>225.95*(1-Z1%)</f>
        <v>225.95</v>
      </c>
      <c r="F5252" s="2">
        <v>19</v>
      </c>
      <c r="G5252" s="2"/>
    </row>
    <row r="5253" spans="1:26" customHeight="1" ht="18" hidden="true" outlineLevel="2">
      <c r="A5253" s="2" t="s">
        <v>9933</v>
      </c>
      <c r="B5253" s="3" t="s">
        <v>9934</v>
      </c>
      <c r="C5253" s="2"/>
      <c r="D5253" s="2" t="s">
        <v>16</v>
      </c>
      <c r="E5253" s="4">
        <f>219.38*(1-Z1%)</f>
        <v>219.38</v>
      </c>
      <c r="F5253" s="2">
        <v>20</v>
      </c>
      <c r="G5253" s="2"/>
    </row>
    <row r="5254" spans="1:26" customHeight="1" ht="18" hidden="true" outlineLevel="2">
      <c r="A5254" s="2" t="s">
        <v>9935</v>
      </c>
      <c r="B5254" s="3" t="s">
        <v>9936</v>
      </c>
      <c r="C5254" s="2"/>
      <c r="D5254" s="2" t="s">
        <v>16</v>
      </c>
      <c r="E5254" s="4">
        <f>219.38*(1-Z1%)</f>
        <v>219.38</v>
      </c>
      <c r="F5254" s="2">
        <v>18</v>
      </c>
      <c r="G5254" s="2"/>
    </row>
    <row r="5255" spans="1:26" customHeight="1" ht="18" hidden="true" outlineLevel="2">
      <c r="A5255" s="2" t="s">
        <v>9937</v>
      </c>
      <c r="B5255" s="3" t="s">
        <v>9938</v>
      </c>
      <c r="C5255" s="2"/>
      <c r="D5255" s="2" t="s">
        <v>16</v>
      </c>
      <c r="E5255" s="4">
        <f>219.38*(1-Z1%)</f>
        <v>219.38</v>
      </c>
      <c r="F5255" s="2">
        <v>17</v>
      </c>
      <c r="G5255" s="2"/>
    </row>
    <row r="5256" spans="1:26" customHeight="1" ht="18" hidden="true" outlineLevel="2">
      <c r="A5256" s="2" t="s">
        <v>9939</v>
      </c>
      <c r="B5256" s="3" t="s">
        <v>9940</v>
      </c>
      <c r="C5256" s="2"/>
      <c r="D5256" s="2" t="s">
        <v>16</v>
      </c>
      <c r="E5256" s="4">
        <f>219.38*(1-Z1%)</f>
        <v>219.38</v>
      </c>
      <c r="F5256" s="2">
        <v>18</v>
      </c>
      <c r="G5256" s="2"/>
    </row>
    <row r="5257" spans="1:26" customHeight="1" ht="18" hidden="true" outlineLevel="2">
      <c r="A5257" s="2" t="s">
        <v>9941</v>
      </c>
      <c r="B5257" s="3" t="s">
        <v>9942</v>
      </c>
      <c r="C5257" s="2"/>
      <c r="D5257" s="2" t="s">
        <v>16</v>
      </c>
      <c r="E5257" s="4">
        <f>219.38*(1-Z1%)</f>
        <v>219.38</v>
      </c>
      <c r="F5257" s="2">
        <v>9</v>
      </c>
      <c r="G5257" s="2"/>
    </row>
    <row r="5258" spans="1:26" customHeight="1" ht="18" hidden="true" outlineLevel="2">
      <c r="A5258" s="2" t="s">
        <v>9943</v>
      </c>
      <c r="B5258" s="3" t="s">
        <v>9944</v>
      </c>
      <c r="C5258" s="2"/>
      <c r="D5258" s="2" t="s">
        <v>16</v>
      </c>
      <c r="E5258" s="4">
        <f>219.38*(1-Z1%)</f>
        <v>219.38</v>
      </c>
      <c r="F5258" s="2">
        <v>4</v>
      </c>
      <c r="G5258" s="2"/>
    </row>
    <row r="5259" spans="1:26" customHeight="1" ht="18" hidden="true" outlineLevel="2">
      <c r="A5259" s="2" t="s">
        <v>9945</v>
      </c>
      <c r="B5259" s="3" t="s">
        <v>9946</v>
      </c>
      <c r="C5259" s="2"/>
      <c r="D5259" s="2" t="s">
        <v>16</v>
      </c>
      <c r="E5259" s="4">
        <f>219.38*(1-Z1%)</f>
        <v>219.38</v>
      </c>
      <c r="F5259" s="2">
        <v>22</v>
      </c>
      <c r="G5259" s="2"/>
    </row>
    <row r="5260" spans="1:26" customHeight="1" ht="18" hidden="true" outlineLevel="2">
      <c r="A5260" s="2" t="s">
        <v>9947</v>
      </c>
      <c r="B5260" s="3" t="s">
        <v>9948</v>
      </c>
      <c r="C5260" s="2"/>
      <c r="D5260" s="2" t="s">
        <v>16</v>
      </c>
      <c r="E5260" s="4">
        <f>219.38*(1-Z1%)</f>
        <v>219.38</v>
      </c>
      <c r="F5260" s="2">
        <v>16</v>
      </c>
      <c r="G5260" s="2"/>
    </row>
    <row r="5261" spans="1:26" customHeight="1" ht="18" hidden="true" outlineLevel="2">
      <c r="A5261" s="2" t="s">
        <v>9949</v>
      </c>
      <c r="B5261" s="3" t="s">
        <v>9950</v>
      </c>
      <c r="C5261" s="2"/>
      <c r="D5261" s="2" t="s">
        <v>16</v>
      </c>
      <c r="E5261" s="4">
        <f>219.38*(1-Z1%)</f>
        <v>219.38</v>
      </c>
      <c r="F5261" s="2">
        <v>1</v>
      </c>
      <c r="G5261" s="2"/>
    </row>
    <row r="5262" spans="1:26" customHeight="1" ht="18" hidden="true" outlineLevel="2">
      <c r="A5262" s="2" t="s">
        <v>9951</v>
      </c>
      <c r="B5262" s="3" t="s">
        <v>9952</v>
      </c>
      <c r="C5262" s="2"/>
      <c r="D5262" s="2" t="s">
        <v>16</v>
      </c>
      <c r="E5262" s="4">
        <f>219.38*(1-Z1%)</f>
        <v>219.38</v>
      </c>
      <c r="F5262" s="2">
        <v>19</v>
      </c>
      <c r="G5262" s="2"/>
    </row>
    <row r="5263" spans="1:26" customHeight="1" ht="18" hidden="true" outlineLevel="2">
      <c r="A5263" s="2" t="s">
        <v>9953</v>
      </c>
      <c r="B5263" s="3" t="s">
        <v>9954</v>
      </c>
      <c r="C5263" s="2"/>
      <c r="D5263" s="2" t="s">
        <v>16</v>
      </c>
      <c r="E5263" s="4">
        <f>249.13*(1-Z1%)</f>
        <v>249.13</v>
      </c>
      <c r="F5263" s="2">
        <v>19</v>
      </c>
      <c r="G5263" s="2"/>
    </row>
    <row r="5264" spans="1:26" customHeight="1" ht="18" hidden="true" outlineLevel="2">
      <c r="A5264" s="2" t="s">
        <v>9955</v>
      </c>
      <c r="B5264" s="3" t="s">
        <v>9956</v>
      </c>
      <c r="C5264" s="2"/>
      <c r="D5264" s="2" t="s">
        <v>16</v>
      </c>
      <c r="E5264" s="4">
        <f>249.13*(1-Z1%)</f>
        <v>249.13</v>
      </c>
      <c r="F5264" s="2">
        <v>17</v>
      </c>
      <c r="G5264" s="2"/>
    </row>
    <row r="5265" spans="1:26" customHeight="1" ht="18" hidden="true" outlineLevel="2">
      <c r="A5265" s="2" t="s">
        <v>9957</v>
      </c>
      <c r="B5265" s="3" t="s">
        <v>9958</v>
      </c>
      <c r="C5265" s="2"/>
      <c r="D5265" s="2" t="s">
        <v>16</v>
      </c>
      <c r="E5265" s="4">
        <f>219.38*(1-Z1%)</f>
        <v>219.38</v>
      </c>
      <c r="F5265" s="2">
        <v>17</v>
      </c>
      <c r="G5265" s="2"/>
    </row>
    <row r="5266" spans="1:26" customHeight="1" ht="18" hidden="true" outlineLevel="2">
      <c r="A5266" s="2" t="s">
        <v>9959</v>
      </c>
      <c r="B5266" s="3" t="s">
        <v>9960</v>
      </c>
      <c r="C5266" s="2"/>
      <c r="D5266" s="2" t="s">
        <v>16</v>
      </c>
      <c r="E5266" s="4">
        <f>219.38*(1-Z1%)</f>
        <v>219.38</v>
      </c>
      <c r="F5266" s="2">
        <v>18</v>
      </c>
      <c r="G5266" s="2"/>
    </row>
    <row r="5267" spans="1:26" customHeight="1" ht="18" hidden="true" outlineLevel="2">
      <c r="A5267" s="2" t="s">
        <v>9961</v>
      </c>
      <c r="B5267" s="3" t="s">
        <v>9962</v>
      </c>
      <c r="C5267" s="2"/>
      <c r="D5267" s="2" t="s">
        <v>16</v>
      </c>
      <c r="E5267" s="4">
        <f>219.38*(1-Z1%)</f>
        <v>219.38</v>
      </c>
      <c r="F5267" s="2">
        <v>22</v>
      </c>
      <c r="G5267" s="2"/>
    </row>
    <row r="5268" spans="1:26" customHeight="1" ht="18" hidden="true" outlineLevel="2">
      <c r="A5268" s="2" t="s">
        <v>9963</v>
      </c>
      <c r="B5268" s="3" t="s">
        <v>9964</v>
      </c>
      <c r="C5268" s="2"/>
      <c r="D5268" s="2" t="s">
        <v>16</v>
      </c>
      <c r="E5268" s="4">
        <f>214.37*(1-Z1%)</f>
        <v>214.37</v>
      </c>
      <c r="F5268" s="2">
        <v>36</v>
      </c>
      <c r="G5268" s="2"/>
    </row>
    <row r="5269" spans="1:26" customHeight="1" ht="18" hidden="true" outlineLevel="2">
      <c r="A5269" s="2" t="s">
        <v>9965</v>
      </c>
      <c r="B5269" s="3" t="s">
        <v>9966</v>
      </c>
      <c r="C5269" s="2"/>
      <c r="D5269" s="2" t="s">
        <v>16</v>
      </c>
      <c r="E5269" s="4">
        <f>208.13*(1-Z1%)</f>
        <v>208.13</v>
      </c>
      <c r="F5269" s="2">
        <v>16</v>
      </c>
      <c r="G5269" s="2"/>
    </row>
    <row r="5270" spans="1:26" customHeight="1" ht="18" hidden="true" outlineLevel="2">
      <c r="A5270" s="2" t="s">
        <v>9967</v>
      </c>
      <c r="B5270" s="3" t="s">
        <v>9968</v>
      </c>
      <c r="C5270" s="2"/>
      <c r="D5270" s="2" t="s">
        <v>16</v>
      </c>
      <c r="E5270" s="4">
        <f>208.13*(1-Z1%)</f>
        <v>208.13</v>
      </c>
      <c r="F5270" s="2">
        <v>17</v>
      </c>
      <c r="G5270" s="2"/>
    </row>
    <row r="5271" spans="1:26" customHeight="1" ht="18" hidden="true" outlineLevel="2">
      <c r="A5271" s="2" t="s">
        <v>9969</v>
      </c>
      <c r="B5271" s="3" t="s">
        <v>9970</v>
      </c>
      <c r="C5271" s="2"/>
      <c r="D5271" s="2" t="s">
        <v>16</v>
      </c>
      <c r="E5271" s="4">
        <f>208.13*(1-Z1%)</f>
        <v>208.13</v>
      </c>
      <c r="F5271" s="2">
        <v>16</v>
      </c>
      <c r="G5271" s="2"/>
    </row>
    <row r="5272" spans="1:26" customHeight="1" ht="18" hidden="true" outlineLevel="2">
      <c r="A5272" s="2" t="s">
        <v>9971</v>
      </c>
      <c r="B5272" s="3" t="s">
        <v>9972</v>
      </c>
      <c r="C5272" s="2"/>
      <c r="D5272" s="2" t="s">
        <v>16</v>
      </c>
      <c r="E5272" s="4">
        <f>219.38*(1-Z1%)</f>
        <v>219.38</v>
      </c>
      <c r="F5272" s="2">
        <v>20</v>
      </c>
      <c r="G5272" s="2"/>
    </row>
    <row r="5273" spans="1:26" customHeight="1" ht="18" hidden="true" outlineLevel="2">
      <c r="A5273" s="2" t="s">
        <v>9973</v>
      </c>
      <c r="B5273" s="3" t="s">
        <v>9974</v>
      </c>
      <c r="C5273" s="2"/>
      <c r="D5273" s="2" t="s">
        <v>16</v>
      </c>
      <c r="E5273" s="4">
        <f>208.13*(1-Z1%)</f>
        <v>208.13</v>
      </c>
      <c r="F5273" s="2">
        <v>18</v>
      </c>
      <c r="G5273" s="2"/>
    </row>
    <row r="5274" spans="1:26" customHeight="1" ht="18" hidden="true" outlineLevel="2">
      <c r="A5274" s="2" t="s">
        <v>9975</v>
      </c>
      <c r="B5274" s="3" t="s">
        <v>9976</v>
      </c>
      <c r="C5274" s="2"/>
      <c r="D5274" s="2" t="s">
        <v>16</v>
      </c>
      <c r="E5274" s="4">
        <f>208.13*(1-Z1%)</f>
        <v>208.13</v>
      </c>
      <c r="F5274" s="2">
        <v>15</v>
      </c>
      <c r="G5274" s="2"/>
    </row>
    <row r="5275" spans="1:26" customHeight="1" ht="18" hidden="true" outlineLevel="2">
      <c r="A5275" s="2" t="s">
        <v>9977</v>
      </c>
      <c r="B5275" s="3" t="s">
        <v>9978</v>
      </c>
      <c r="C5275" s="2"/>
      <c r="D5275" s="2" t="s">
        <v>16</v>
      </c>
      <c r="E5275" s="4">
        <f>208.13*(1-Z1%)</f>
        <v>208.13</v>
      </c>
      <c r="F5275" s="2">
        <v>15</v>
      </c>
      <c r="G5275" s="2"/>
    </row>
    <row r="5276" spans="1:26" customHeight="1" ht="18" hidden="true" outlineLevel="2">
      <c r="A5276" s="2" t="s">
        <v>9979</v>
      </c>
      <c r="B5276" s="3" t="s">
        <v>9980</v>
      </c>
      <c r="C5276" s="2"/>
      <c r="D5276" s="2" t="s">
        <v>16</v>
      </c>
      <c r="E5276" s="4">
        <f>214.37*(1-Z1%)</f>
        <v>214.37</v>
      </c>
      <c r="F5276" s="2">
        <v>19</v>
      </c>
      <c r="G5276" s="2"/>
    </row>
    <row r="5277" spans="1:26" customHeight="1" ht="18" hidden="true" outlineLevel="2">
      <c r="A5277" s="2" t="s">
        <v>9981</v>
      </c>
      <c r="B5277" s="3" t="s">
        <v>9982</v>
      </c>
      <c r="C5277" s="2"/>
      <c r="D5277" s="2" t="s">
        <v>16</v>
      </c>
      <c r="E5277" s="4">
        <f>214.37*(1-Z1%)</f>
        <v>214.37</v>
      </c>
      <c r="F5277" s="2">
        <v>15</v>
      </c>
      <c r="G5277" s="2"/>
    </row>
    <row r="5278" spans="1:26" customHeight="1" ht="35" hidden="true" outlineLevel="2">
      <c r="A5278" s="5" t="s">
        <v>9983</v>
      </c>
      <c r="B5278" s="5"/>
      <c r="C5278" s="5"/>
      <c r="D5278" s="5"/>
      <c r="E5278" s="5"/>
      <c r="F5278" s="5"/>
      <c r="G5278" s="5"/>
    </row>
    <row r="5279" spans="1:26" customHeight="1" ht="18" hidden="true" outlineLevel="2">
      <c r="A5279" s="2" t="s">
        <v>9984</v>
      </c>
      <c r="B5279" s="3" t="s">
        <v>9985</v>
      </c>
      <c r="C5279" s="2"/>
      <c r="D5279" s="2" t="s">
        <v>16</v>
      </c>
      <c r="E5279" s="4">
        <f>405.00*(1-Z1%)</f>
        <v>405</v>
      </c>
      <c r="F5279" s="2">
        <v>152</v>
      </c>
      <c r="G5279" s="2"/>
    </row>
    <row r="5280" spans="1:26" customHeight="1" ht="36" hidden="true" outlineLevel="2">
      <c r="A5280" s="2" t="s">
        <v>9986</v>
      </c>
      <c r="B5280" s="3" t="s">
        <v>9987</v>
      </c>
      <c r="C5280" s="2"/>
      <c r="D5280" s="2" t="s">
        <v>16</v>
      </c>
      <c r="E5280" s="4">
        <f>416.25*(1-Z1%)</f>
        <v>416.25</v>
      </c>
      <c r="F5280" s="2">
        <v>146</v>
      </c>
      <c r="G5280" s="2"/>
    </row>
    <row r="5281" spans="1:26" customHeight="1" ht="18" hidden="true" outlineLevel="2">
      <c r="A5281" s="2" t="s">
        <v>9988</v>
      </c>
      <c r="B5281" s="3" t="s">
        <v>9989</v>
      </c>
      <c r="C5281" s="2"/>
      <c r="D5281" s="2" t="s">
        <v>16</v>
      </c>
      <c r="E5281" s="4">
        <f>168.75*(1-Z1%)</f>
        <v>168.75</v>
      </c>
      <c r="F5281" s="2">
        <v>78</v>
      </c>
      <c r="G5281" s="2"/>
    </row>
    <row r="5282" spans="1:26" customHeight="1" ht="18" hidden="true" outlineLevel="2">
      <c r="A5282" s="2" t="s">
        <v>9990</v>
      </c>
      <c r="B5282" s="3" t="s">
        <v>9991</v>
      </c>
      <c r="C5282" s="2"/>
      <c r="D5282" s="2" t="s">
        <v>16</v>
      </c>
      <c r="E5282" s="4">
        <f>174.38*(1-Z1%)</f>
        <v>174.38</v>
      </c>
      <c r="F5282" s="2">
        <v>11</v>
      </c>
      <c r="G5282" s="2"/>
    </row>
    <row r="5283" spans="1:26" customHeight="1" ht="36" hidden="true" outlineLevel="2">
      <c r="A5283" s="2" t="s">
        <v>9992</v>
      </c>
      <c r="B5283" s="3" t="s">
        <v>9993</v>
      </c>
      <c r="C5283" s="2"/>
      <c r="D5283" s="2" t="s">
        <v>16</v>
      </c>
      <c r="E5283" s="4">
        <f>964.04*(1-Z1%)</f>
        <v>964.04</v>
      </c>
      <c r="F5283" s="2">
        <v>7</v>
      </c>
      <c r="G5283" s="2"/>
    </row>
    <row r="5284" spans="1:26" customHeight="1" ht="36" hidden="true" outlineLevel="2">
      <c r="A5284" s="2" t="s">
        <v>9994</v>
      </c>
      <c r="B5284" s="3" t="s">
        <v>9995</v>
      </c>
      <c r="C5284" s="2"/>
      <c r="D5284" s="2" t="s">
        <v>16</v>
      </c>
      <c r="E5284" s="4">
        <f>381.38*(1-Z1%)</f>
        <v>381.38</v>
      </c>
      <c r="F5284" s="2">
        <v>16</v>
      </c>
      <c r="G5284" s="2"/>
    </row>
    <row r="5285" spans="1:26" customHeight="1" ht="36" hidden="true" outlineLevel="2">
      <c r="A5285" s="2" t="s">
        <v>9996</v>
      </c>
      <c r="B5285" s="3" t="s">
        <v>9997</v>
      </c>
      <c r="C5285" s="2"/>
      <c r="D5285" s="2" t="s">
        <v>16</v>
      </c>
      <c r="E5285" s="4">
        <f>694.79*(1-Z1%)</f>
        <v>694.79</v>
      </c>
      <c r="F5285" s="2">
        <v>5</v>
      </c>
      <c r="G5285" s="2"/>
    </row>
    <row r="5286" spans="1:26" customHeight="1" ht="36" hidden="true" outlineLevel="2">
      <c r="A5286" s="2" t="s">
        <v>9998</v>
      </c>
      <c r="B5286" s="3" t="s">
        <v>9999</v>
      </c>
      <c r="C5286" s="2"/>
      <c r="D5286" s="2" t="s">
        <v>16</v>
      </c>
      <c r="E5286" s="4">
        <f>694.79*(1-Z1%)</f>
        <v>694.79</v>
      </c>
      <c r="F5286" s="2">
        <v>1</v>
      </c>
      <c r="G5286" s="2"/>
    </row>
    <row r="5287" spans="1:26" customHeight="1" ht="36" hidden="true" outlineLevel="2">
      <c r="A5287" s="2" t="s">
        <v>10000</v>
      </c>
      <c r="B5287" s="3" t="s">
        <v>10001</v>
      </c>
      <c r="C5287" s="2"/>
      <c r="D5287" s="2" t="s">
        <v>16</v>
      </c>
      <c r="E5287" s="4">
        <f>672.26*(1-Z1%)</f>
        <v>672.26</v>
      </c>
      <c r="F5287" s="2">
        <v>7</v>
      </c>
      <c r="G5287" s="2"/>
    </row>
    <row r="5288" spans="1:26" customHeight="1" ht="36" hidden="true" outlineLevel="2">
      <c r="A5288" s="2" t="s">
        <v>10002</v>
      </c>
      <c r="B5288" s="3" t="s">
        <v>10003</v>
      </c>
      <c r="C5288" s="2"/>
      <c r="D5288" s="2" t="s">
        <v>16</v>
      </c>
      <c r="E5288" s="4">
        <f>661.17*(1-Z1%)</f>
        <v>661.17</v>
      </c>
      <c r="F5288" s="2">
        <v>10</v>
      </c>
      <c r="G5288" s="2"/>
    </row>
    <row r="5289" spans="1:26" customHeight="1" ht="36" hidden="true" outlineLevel="2">
      <c r="A5289" s="2" t="s">
        <v>10004</v>
      </c>
      <c r="B5289" s="3" t="s">
        <v>10005</v>
      </c>
      <c r="C5289" s="2"/>
      <c r="D5289" s="2" t="s">
        <v>16</v>
      </c>
      <c r="E5289" s="4">
        <f>280.16*(1-Z1%)</f>
        <v>280.16</v>
      </c>
      <c r="F5289" s="2">
        <v>3</v>
      </c>
      <c r="G5289" s="2"/>
    </row>
    <row r="5290" spans="1:26" customHeight="1" ht="36" hidden="true" outlineLevel="2">
      <c r="A5290" s="2" t="s">
        <v>10006</v>
      </c>
      <c r="B5290" s="3" t="s">
        <v>10007</v>
      </c>
      <c r="C5290" s="2"/>
      <c r="D5290" s="2" t="s">
        <v>16</v>
      </c>
      <c r="E5290" s="4">
        <f>268.96*(1-Z1%)</f>
        <v>268.96</v>
      </c>
      <c r="F5290" s="2">
        <v>6</v>
      </c>
      <c r="G5290" s="2"/>
    </row>
    <row r="5291" spans="1:26" customHeight="1" ht="36" hidden="true" outlineLevel="2">
      <c r="A5291" s="2" t="s">
        <v>10008</v>
      </c>
      <c r="B5291" s="3" t="s">
        <v>10009</v>
      </c>
      <c r="C5291" s="2"/>
      <c r="D5291" s="2" t="s">
        <v>16</v>
      </c>
      <c r="E5291" s="4">
        <f>444.94*(1-Z1%)</f>
        <v>444.94</v>
      </c>
      <c r="F5291" s="2">
        <v>144</v>
      </c>
      <c r="G5291" s="2"/>
    </row>
    <row r="5292" spans="1:26" customHeight="1" ht="36" hidden="true" outlineLevel="2">
      <c r="A5292" s="2" t="s">
        <v>10010</v>
      </c>
      <c r="B5292" s="3" t="s">
        <v>10011</v>
      </c>
      <c r="C5292" s="2"/>
      <c r="D5292" s="2" t="s">
        <v>16</v>
      </c>
      <c r="E5292" s="4">
        <f>319.37*(1-Z1%)</f>
        <v>319.37</v>
      </c>
      <c r="F5292" s="2">
        <v>29</v>
      </c>
      <c r="G5292" s="2"/>
    </row>
    <row r="5293" spans="1:26" customHeight="1" ht="18" hidden="true" outlineLevel="2">
      <c r="A5293" s="2" t="s">
        <v>10012</v>
      </c>
      <c r="B5293" s="3" t="s">
        <v>10013</v>
      </c>
      <c r="C5293" s="2"/>
      <c r="D5293" s="2" t="s">
        <v>16</v>
      </c>
      <c r="E5293" s="4">
        <f>264.38*(1-Z1%)</f>
        <v>264.38</v>
      </c>
      <c r="F5293" s="2">
        <v>195</v>
      </c>
      <c r="G5293" s="2"/>
    </row>
    <row r="5294" spans="1:26" customHeight="1" ht="36" hidden="true" outlineLevel="2">
      <c r="A5294" s="2" t="s">
        <v>10014</v>
      </c>
      <c r="B5294" s="3" t="s">
        <v>10015</v>
      </c>
      <c r="C5294" s="2"/>
      <c r="D5294" s="2" t="s">
        <v>16</v>
      </c>
      <c r="E5294" s="4">
        <f>266.52*(1-Z1%)</f>
        <v>266.52</v>
      </c>
      <c r="F5294" s="2">
        <v>168</v>
      </c>
      <c r="G5294" s="2"/>
    </row>
    <row r="5295" spans="1:26" customHeight="1" ht="18" hidden="true" outlineLevel="2">
      <c r="A5295" s="2" t="s">
        <v>10016</v>
      </c>
      <c r="B5295" s="3" t="s">
        <v>10017</v>
      </c>
      <c r="C5295" s="2"/>
      <c r="D5295" s="2" t="s">
        <v>16</v>
      </c>
      <c r="E5295" s="4">
        <f>275.63*(1-Z1%)</f>
        <v>275.63</v>
      </c>
      <c r="F5295" s="2">
        <v>143</v>
      </c>
      <c r="G5295" s="2"/>
    </row>
    <row r="5296" spans="1:26" customHeight="1" ht="36" hidden="true" outlineLevel="2">
      <c r="A5296" s="2" t="s">
        <v>10018</v>
      </c>
      <c r="B5296" s="3" t="s">
        <v>10019</v>
      </c>
      <c r="C5296" s="2"/>
      <c r="D5296" s="2" t="s">
        <v>16</v>
      </c>
      <c r="E5296" s="4">
        <f>309.38*(1-Z1%)</f>
        <v>309.38</v>
      </c>
      <c r="F5296" s="2">
        <v>182</v>
      </c>
      <c r="G5296" s="2"/>
    </row>
    <row r="5297" spans="1:26" customHeight="1" ht="18" hidden="true" outlineLevel="2">
      <c r="A5297" s="2" t="s">
        <v>10020</v>
      </c>
      <c r="B5297" s="3" t="s">
        <v>10021</v>
      </c>
      <c r="C5297" s="2"/>
      <c r="D5297" s="2" t="s">
        <v>16</v>
      </c>
      <c r="E5297" s="4">
        <f>185.63*(1-Z1%)</f>
        <v>185.63</v>
      </c>
      <c r="F5297" s="2">
        <v>37</v>
      </c>
      <c r="G5297" s="2"/>
    </row>
    <row r="5298" spans="1:26" customHeight="1" ht="18" hidden="true" outlineLevel="2">
      <c r="A5298" s="2" t="s">
        <v>10022</v>
      </c>
      <c r="B5298" s="3" t="s">
        <v>10023</v>
      </c>
      <c r="C5298" s="2"/>
      <c r="D5298" s="2" t="s">
        <v>16</v>
      </c>
      <c r="E5298" s="4">
        <f>196.88*(1-Z1%)</f>
        <v>196.88</v>
      </c>
      <c r="F5298" s="2">
        <v>23</v>
      </c>
      <c r="G5298" s="2"/>
    </row>
    <row r="5299" spans="1:26" customHeight="1" ht="18" hidden="true" outlineLevel="2">
      <c r="A5299" s="2" t="s">
        <v>10024</v>
      </c>
      <c r="B5299" s="3" t="s">
        <v>10025</v>
      </c>
      <c r="C5299" s="2"/>
      <c r="D5299" s="2" t="s">
        <v>16</v>
      </c>
      <c r="E5299" s="4">
        <f>196.88*(1-Z1%)</f>
        <v>196.88</v>
      </c>
      <c r="F5299" s="2">
        <v>86</v>
      </c>
      <c r="G5299" s="2"/>
    </row>
    <row r="5300" spans="1:26" customHeight="1" ht="18" hidden="true" outlineLevel="2">
      <c r="A5300" s="2" t="s">
        <v>10026</v>
      </c>
      <c r="B5300" s="3" t="s">
        <v>10027</v>
      </c>
      <c r="C5300" s="2"/>
      <c r="D5300" s="2" t="s">
        <v>16</v>
      </c>
      <c r="E5300" s="4">
        <f>208.13*(1-Z1%)</f>
        <v>208.13</v>
      </c>
      <c r="F5300" s="2">
        <v>43</v>
      </c>
      <c r="G5300" s="2"/>
    </row>
    <row r="5301" spans="1:26" customHeight="1" ht="36" hidden="true" outlineLevel="2">
      <c r="A5301" s="2" t="s">
        <v>10028</v>
      </c>
      <c r="B5301" s="3" t="s">
        <v>10029</v>
      </c>
      <c r="C5301" s="2"/>
      <c r="D5301" s="2" t="s">
        <v>16</v>
      </c>
      <c r="E5301" s="4">
        <f>4523.47*(1-Z1%)</f>
        <v>4523.47</v>
      </c>
      <c r="F5301" s="2">
        <v>2</v>
      </c>
      <c r="G5301" s="2"/>
    </row>
    <row r="5302" spans="1:26" customHeight="1" ht="36" hidden="true" outlineLevel="2">
      <c r="A5302" s="2" t="s">
        <v>10030</v>
      </c>
      <c r="B5302" s="3" t="s">
        <v>10031</v>
      </c>
      <c r="C5302" s="2"/>
      <c r="D5302" s="2" t="s">
        <v>16</v>
      </c>
      <c r="E5302" s="4">
        <f>1002.60*(1-Z1%)</f>
        <v>1002.6</v>
      </c>
      <c r="F5302" s="2">
        <v>5</v>
      </c>
      <c r="G5302" s="2"/>
    </row>
    <row r="5303" spans="1:26" customHeight="1" ht="36" hidden="true" outlineLevel="2">
      <c r="A5303" s="2" t="s">
        <v>10032</v>
      </c>
      <c r="B5303" s="3" t="s">
        <v>10033</v>
      </c>
      <c r="C5303" s="2"/>
      <c r="D5303" s="2" t="s">
        <v>16</v>
      </c>
      <c r="E5303" s="4">
        <f>593.26*(1-Z1%)</f>
        <v>593.26</v>
      </c>
      <c r="F5303" s="2">
        <v>29</v>
      </c>
      <c r="G5303" s="2"/>
    </row>
    <row r="5304" spans="1:26" customHeight="1" ht="36" hidden="true" outlineLevel="2">
      <c r="A5304" s="2" t="s">
        <v>10034</v>
      </c>
      <c r="B5304" s="3" t="s">
        <v>10035</v>
      </c>
      <c r="C5304" s="2"/>
      <c r="D5304" s="2" t="s">
        <v>16</v>
      </c>
      <c r="E5304" s="4">
        <f>714.38*(1-Z1%)</f>
        <v>714.38</v>
      </c>
      <c r="F5304" s="2">
        <v>5</v>
      </c>
      <c r="G5304" s="2"/>
    </row>
    <row r="5305" spans="1:26" customHeight="1" ht="36" hidden="true" outlineLevel="2">
      <c r="A5305" s="2" t="s">
        <v>10036</v>
      </c>
      <c r="B5305" s="3" t="s">
        <v>10037</v>
      </c>
      <c r="C5305" s="2"/>
      <c r="D5305" s="2" t="s">
        <v>16</v>
      </c>
      <c r="E5305" s="4">
        <f>635.63*(1-Z1%)</f>
        <v>635.63</v>
      </c>
      <c r="F5305" s="2">
        <v>10</v>
      </c>
      <c r="G5305" s="2"/>
    </row>
    <row r="5306" spans="1:26" customHeight="1" ht="18" hidden="true" outlineLevel="2">
      <c r="A5306" s="2" t="s">
        <v>10038</v>
      </c>
      <c r="B5306" s="3" t="s">
        <v>10039</v>
      </c>
      <c r="C5306" s="2"/>
      <c r="D5306" s="2" t="s">
        <v>16</v>
      </c>
      <c r="E5306" s="4">
        <f>995.63*(1-Z1%)</f>
        <v>995.63</v>
      </c>
      <c r="F5306" s="2">
        <v>103</v>
      </c>
      <c r="G5306" s="2"/>
    </row>
    <row r="5307" spans="1:26" customHeight="1" ht="36" hidden="true" outlineLevel="2">
      <c r="A5307" s="2" t="s">
        <v>10040</v>
      </c>
      <c r="B5307" s="3" t="s">
        <v>10041</v>
      </c>
      <c r="C5307" s="2"/>
      <c r="D5307" s="2" t="s">
        <v>16</v>
      </c>
      <c r="E5307" s="4">
        <f>1006.88*(1-Z1%)</f>
        <v>1006.88</v>
      </c>
      <c r="F5307" s="2">
        <v>75</v>
      </c>
      <c r="G5307" s="2"/>
    </row>
    <row r="5308" spans="1:26" customHeight="1" ht="36" hidden="true" outlineLevel="2">
      <c r="A5308" s="2" t="s">
        <v>10042</v>
      </c>
      <c r="B5308" s="3" t="s">
        <v>10043</v>
      </c>
      <c r="C5308" s="2"/>
      <c r="D5308" s="2" t="s">
        <v>16</v>
      </c>
      <c r="E5308" s="4">
        <f>669.38*(1-Z1%)</f>
        <v>669.38</v>
      </c>
      <c r="F5308" s="2">
        <v>2</v>
      </c>
      <c r="G5308" s="2"/>
    </row>
    <row r="5309" spans="1:26" customHeight="1" ht="18" hidden="true" outlineLevel="2">
      <c r="A5309" s="2" t="s">
        <v>10044</v>
      </c>
      <c r="B5309" s="3" t="s">
        <v>10045</v>
      </c>
      <c r="C5309" s="2"/>
      <c r="D5309" s="2" t="s">
        <v>16</v>
      </c>
      <c r="E5309" s="4">
        <f>1593.28*(1-Z1%)</f>
        <v>1593.28</v>
      </c>
      <c r="F5309" s="2">
        <v>2</v>
      </c>
      <c r="G5309" s="2"/>
    </row>
    <row r="5310" spans="1:26" customHeight="1" ht="36" hidden="true" outlineLevel="2">
      <c r="A5310" s="2" t="s">
        <v>10046</v>
      </c>
      <c r="B5310" s="3" t="s">
        <v>10047</v>
      </c>
      <c r="C5310" s="2"/>
      <c r="D5310" s="2" t="s">
        <v>16</v>
      </c>
      <c r="E5310" s="4">
        <f>1604.87*(1-Z1%)</f>
        <v>1604.87</v>
      </c>
      <c r="F5310" s="2">
        <v>3</v>
      </c>
      <c r="G5310" s="2"/>
    </row>
    <row r="5311" spans="1:26" customHeight="1" ht="36" hidden="true" outlineLevel="2">
      <c r="A5311" s="2" t="s">
        <v>10048</v>
      </c>
      <c r="B5311" s="3" t="s">
        <v>10049</v>
      </c>
      <c r="C5311" s="2"/>
      <c r="D5311" s="2" t="s">
        <v>16</v>
      </c>
      <c r="E5311" s="4">
        <f>830.92*(1-Z1%)</f>
        <v>830.92</v>
      </c>
      <c r="F5311" s="2">
        <v>29</v>
      </c>
      <c r="G5311" s="2"/>
    </row>
    <row r="5312" spans="1:26" customHeight="1" ht="36" hidden="true" outlineLevel="2">
      <c r="A5312" s="2" t="s">
        <v>10050</v>
      </c>
      <c r="B5312" s="3" t="s">
        <v>10051</v>
      </c>
      <c r="C5312" s="2"/>
      <c r="D5312" s="2" t="s">
        <v>16</v>
      </c>
      <c r="E5312" s="4">
        <f>474.71*(1-Z1%)</f>
        <v>474.71</v>
      </c>
      <c r="F5312" s="2">
        <v>13</v>
      </c>
      <c r="G5312" s="2"/>
    </row>
    <row r="5313" spans="1:26" customHeight="1" ht="36" hidden="true" outlineLevel="2">
      <c r="A5313" s="2" t="s">
        <v>10052</v>
      </c>
      <c r="B5313" s="3" t="s">
        <v>10053</v>
      </c>
      <c r="C5313" s="2"/>
      <c r="D5313" s="2" t="s">
        <v>16</v>
      </c>
      <c r="E5313" s="4">
        <f>462.69*(1-Z1%)</f>
        <v>462.69</v>
      </c>
      <c r="F5313" s="2">
        <v>26</v>
      </c>
      <c r="G5313" s="2"/>
    </row>
    <row r="5314" spans="1:26" customHeight="1" ht="35" hidden="true" outlineLevel="2">
      <c r="A5314" s="5" t="s">
        <v>10054</v>
      </c>
      <c r="B5314" s="5"/>
      <c r="C5314" s="5"/>
      <c r="D5314" s="5"/>
      <c r="E5314" s="5"/>
      <c r="F5314" s="5"/>
      <c r="G5314" s="5"/>
    </row>
    <row r="5315" spans="1:26" customHeight="1" ht="18" hidden="true" outlineLevel="2">
      <c r="A5315" s="2" t="s">
        <v>10055</v>
      </c>
      <c r="B5315" s="3" t="s">
        <v>10056</v>
      </c>
      <c r="C5315" s="2"/>
      <c r="D5315" s="2" t="s">
        <v>16</v>
      </c>
      <c r="E5315" s="4">
        <f>20.59*(1-Z1%)</f>
        <v>20.59</v>
      </c>
      <c r="F5315" s="2">
        <v>150</v>
      </c>
      <c r="G5315" s="2"/>
    </row>
    <row r="5316" spans="1:26" customHeight="1" ht="18" hidden="true" outlineLevel="2">
      <c r="A5316" s="2" t="s">
        <v>10057</v>
      </c>
      <c r="B5316" s="3" t="s">
        <v>10058</v>
      </c>
      <c r="C5316" s="2"/>
      <c r="D5316" s="2" t="s">
        <v>16</v>
      </c>
      <c r="E5316" s="4">
        <f>53.70*(1-Z1%)</f>
        <v>53.7</v>
      </c>
      <c r="F5316" s="2">
        <v>70</v>
      </c>
      <c r="G5316" s="2"/>
    </row>
    <row r="5317" spans="1:26" customHeight="1" ht="18" hidden="true" outlineLevel="2">
      <c r="A5317" s="2" t="s">
        <v>10059</v>
      </c>
      <c r="B5317" s="3" t="s">
        <v>10060</v>
      </c>
      <c r="C5317" s="2"/>
      <c r="D5317" s="2" t="s">
        <v>16</v>
      </c>
      <c r="E5317" s="4">
        <f>66.84*(1-Z1%)</f>
        <v>66.84</v>
      </c>
      <c r="F5317" s="2">
        <v>35</v>
      </c>
      <c r="G5317" s="2"/>
    </row>
    <row r="5318" spans="1:26" customHeight="1" ht="18" hidden="true" outlineLevel="2">
      <c r="A5318" s="2" t="s">
        <v>10061</v>
      </c>
      <c r="B5318" s="3" t="s">
        <v>10062</v>
      </c>
      <c r="C5318" s="2"/>
      <c r="D5318" s="2" t="s">
        <v>16</v>
      </c>
      <c r="E5318" s="4">
        <f>44.42*(1-Z1%)</f>
        <v>44.42</v>
      </c>
      <c r="F5318" s="2">
        <v>110</v>
      </c>
      <c r="G5318" s="2"/>
    </row>
    <row r="5319" spans="1:26" customHeight="1" ht="18" hidden="true" outlineLevel="2">
      <c r="A5319" s="2" t="s">
        <v>10063</v>
      </c>
      <c r="B5319" s="3" t="s">
        <v>10064</v>
      </c>
      <c r="C5319" s="2"/>
      <c r="D5319" s="2" t="s">
        <v>16</v>
      </c>
      <c r="E5319" s="4">
        <f>111.36*(1-Z1%)</f>
        <v>111.36</v>
      </c>
      <c r="F5319" s="2">
        <v>5</v>
      </c>
      <c r="G5319" s="2"/>
    </row>
    <row r="5320" spans="1:26" customHeight="1" ht="18" hidden="true" outlineLevel="2">
      <c r="A5320" s="2" t="s">
        <v>10065</v>
      </c>
      <c r="B5320" s="3" t="s">
        <v>10066</v>
      </c>
      <c r="C5320" s="2"/>
      <c r="D5320" s="2" t="s">
        <v>16</v>
      </c>
      <c r="E5320" s="4">
        <f>42.75*(1-Z1%)</f>
        <v>42.75</v>
      </c>
      <c r="F5320" s="2">
        <v>25</v>
      </c>
      <c r="G5320" s="2"/>
    </row>
    <row r="5321" spans="1:26" customHeight="1" ht="35" hidden="true" outlineLevel="2">
      <c r="A5321" s="5" t="s">
        <v>10067</v>
      </c>
      <c r="B5321" s="5"/>
      <c r="C5321" s="5"/>
      <c r="D5321" s="5"/>
      <c r="E5321" s="5"/>
      <c r="F5321" s="5"/>
      <c r="G5321" s="5"/>
    </row>
    <row r="5322" spans="1:26" customHeight="1" ht="18" hidden="true" outlineLevel="2">
      <c r="A5322" s="2" t="s">
        <v>10068</v>
      </c>
      <c r="B5322" s="3" t="s">
        <v>10069</v>
      </c>
      <c r="C5322" s="2"/>
      <c r="D5322" s="2" t="s">
        <v>16</v>
      </c>
      <c r="E5322" s="4">
        <f>2.41*(1-Z1%)</f>
        <v>2.41</v>
      </c>
      <c r="F5322" s="2">
        <v>100</v>
      </c>
      <c r="G5322" s="2"/>
    </row>
    <row r="5323" spans="1:26" customHeight="1" ht="18" hidden="true" outlineLevel="2">
      <c r="A5323" s="2" t="s">
        <v>10070</v>
      </c>
      <c r="B5323" s="3" t="s">
        <v>10071</v>
      </c>
      <c r="C5323" s="2"/>
      <c r="D5323" s="2" t="s">
        <v>16</v>
      </c>
      <c r="E5323" s="4">
        <f>11.12*(1-Z1%)</f>
        <v>11.12</v>
      </c>
      <c r="F5323" s="2">
        <v>16</v>
      </c>
      <c r="G5323" s="2"/>
    </row>
    <row r="5324" spans="1:26" customHeight="1" ht="18" hidden="true" outlineLevel="2">
      <c r="A5324" s="2" t="s">
        <v>10072</v>
      </c>
      <c r="B5324" s="3" t="s">
        <v>10073</v>
      </c>
      <c r="C5324" s="2"/>
      <c r="D5324" s="2" t="s">
        <v>16</v>
      </c>
      <c r="E5324" s="4">
        <f>30.70*(1-Z1%)</f>
        <v>30.7</v>
      </c>
      <c r="F5324" s="2">
        <v>960</v>
      </c>
      <c r="G5324" s="2"/>
    </row>
    <row r="5325" spans="1:26" customHeight="1" ht="18" hidden="true" outlineLevel="2">
      <c r="A5325" s="2" t="s">
        <v>10074</v>
      </c>
      <c r="B5325" s="3" t="s">
        <v>10075</v>
      </c>
      <c r="C5325" s="2"/>
      <c r="D5325" s="2" t="s">
        <v>16</v>
      </c>
      <c r="E5325" s="4">
        <f>28.89*(1-Z1%)</f>
        <v>28.89</v>
      </c>
      <c r="F5325" s="2">
        <v>440</v>
      </c>
      <c r="G5325" s="2"/>
    </row>
    <row r="5326" spans="1:26" customHeight="1" ht="18" hidden="true" outlineLevel="2">
      <c r="A5326" s="2" t="s">
        <v>10076</v>
      </c>
      <c r="B5326" s="3" t="s">
        <v>10077</v>
      </c>
      <c r="C5326" s="2"/>
      <c r="D5326" s="2" t="s">
        <v>16</v>
      </c>
      <c r="E5326" s="4">
        <f>17.96*(1-Z1%)</f>
        <v>17.96</v>
      </c>
      <c r="F5326" s="2">
        <v>19</v>
      </c>
      <c r="G5326" s="2"/>
    </row>
    <row r="5327" spans="1:26" customHeight="1" ht="18" hidden="true" outlineLevel="2">
      <c r="A5327" s="2" t="s">
        <v>10078</v>
      </c>
      <c r="B5327" s="3" t="s">
        <v>10079</v>
      </c>
      <c r="C5327" s="2"/>
      <c r="D5327" s="2" t="s">
        <v>16</v>
      </c>
      <c r="E5327" s="4">
        <f>20.52*(1-Z1%)</f>
        <v>20.52</v>
      </c>
      <c r="F5327" s="2">
        <v>55</v>
      </c>
      <c r="G5327" s="2"/>
    </row>
    <row r="5328" spans="1:26" customHeight="1" ht="18" hidden="true" outlineLevel="2">
      <c r="A5328" s="2" t="s">
        <v>10080</v>
      </c>
      <c r="B5328" s="3" t="s">
        <v>10081</v>
      </c>
      <c r="C5328" s="2"/>
      <c r="D5328" s="2" t="s">
        <v>16</v>
      </c>
      <c r="E5328" s="4">
        <f>24.80*(1-Z1%)</f>
        <v>24.8</v>
      </c>
      <c r="F5328" s="2">
        <v>2</v>
      </c>
      <c r="G5328" s="2"/>
    </row>
    <row r="5329" spans="1:26" customHeight="1" ht="18" hidden="true" outlineLevel="2">
      <c r="A5329" s="2" t="s">
        <v>10082</v>
      </c>
      <c r="B5329" s="3" t="s">
        <v>10083</v>
      </c>
      <c r="C5329" s="2"/>
      <c r="D5329" s="2" t="s">
        <v>16</v>
      </c>
      <c r="E5329" s="4">
        <f>16.25*(1-Z1%)</f>
        <v>16.25</v>
      </c>
      <c r="F5329" s="2">
        <v>2</v>
      </c>
      <c r="G5329" s="2"/>
    </row>
    <row r="5330" spans="1:26" customHeight="1" ht="18" hidden="true" outlineLevel="2">
      <c r="A5330" s="2" t="s">
        <v>10084</v>
      </c>
      <c r="B5330" s="3" t="s">
        <v>10085</v>
      </c>
      <c r="C5330" s="2"/>
      <c r="D5330" s="2" t="s">
        <v>16</v>
      </c>
      <c r="E5330" s="4">
        <f>39.33*(1-Z1%)</f>
        <v>39.33</v>
      </c>
      <c r="F5330" s="2">
        <v>50</v>
      </c>
      <c r="G5330" s="2"/>
    </row>
    <row r="5331" spans="1:26" customHeight="1" ht="18" hidden="true" outlineLevel="2">
      <c r="A5331" s="2" t="s">
        <v>10086</v>
      </c>
      <c r="B5331" s="3" t="s">
        <v>10087</v>
      </c>
      <c r="C5331" s="2"/>
      <c r="D5331" s="2" t="s">
        <v>16</v>
      </c>
      <c r="E5331" s="4">
        <f>23.94*(1-Z1%)</f>
        <v>23.94</v>
      </c>
      <c r="F5331" s="2">
        <v>1</v>
      </c>
      <c r="G5331" s="2"/>
    </row>
    <row r="5332" spans="1:26" customHeight="1" ht="35">
      <c r="A5332" s="1" t="s">
        <v>10088</v>
      </c>
      <c r="B5332" s="1"/>
      <c r="C5332" s="1"/>
      <c r="D5332" s="1"/>
      <c r="E5332" s="1"/>
      <c r="F5332" s="1"/>
      <c r="G5332" s="1"/>
    </row>
    <row r="5333" spans="1:26" customHeight="1" ht="35" hidden="true" outlineLevel="2">
      <c r="A5333" s="5" t="s">
        <v>10089</v>
      </c>
      <c r="B5333" s="5"/>
      <c r="C5333" s="5"/>
      <c r="D5333" s="5"/>
      <c r="E5333" s="5"/>
      <c r="F5333" s="5"/>
      <c r="G5333" s="5"/>
    </row>
    <row r="5334" spans="1:26" customHeight="1" ht="35" hidden="true" outlineLevel="3">
      <c r="A5334" s="5" t="s">
        <v>10090</v>
      </c>
      <c r="B5334" s="5"/>
      <c r="C5334" s="5"/>
      <c r="D5334" s="5"/>
      <c r="E5334" s="5"/>
      <c r="F5334" s="5"/>
      <c r="G5334" s="5"/>
    </row>
    <row r="5335" spans="1:26" customHeight="1" ht="18" hidden="true" outlineLevel="3">
      <c r="A5335" s="2" t="s">
        <v>10091</v>
      </c>
      <c r="B5335" s="3" t="s">
        <v>10092</v>
      </c>
      <c r="C5335" s="2"/>
      <c r="D5335" s="2" t="s">
        <v>16</v>
      </c>
      <c r="E5335" s="4">
        <f>32.89*(1-Z1%)</f>
        <v>32.89</v>
      </c>
      <c r="F5335" s="2">
        <v>50</v>
      </c>
      <c r="G5335" s="2"/>
    </row>
    <row r="5336" spans="1:26" customHeight="1" ht="18" hidden="true" outlineLevel="3">
      <c r="A5336" s="2" t="s">
        <v>10093</v>
      </c>
      <c r="B5336" s="3" t="s">
        <v>10094</v>
      </c>
      <c r="C5336" s="2"/>
      <c r="D5336" s="2" t="s">
        <v>16</v>
      </c>
      <c r="E5336" s="4">
        <f>37.74*(1-Z1%)</f>
        <v>37.74</v>
      </c>
      <c r="F5336" s="2">
        <v>35</v>
      </c>
      <c r="G5336" s="2"/>
    </row>
    <row r="5337" spans="1:26" customHeight="1" ht="18" hidden="true" outlineLevel="3">
      <c r="A5337" s="2" t="s">
        <v>10095</v>
      </c>
      <c r="B5337" s="3" t="s">
        <v>10096</v>
      </c>
      <c r="C5337" s="2"/>
      <c r="D5337" s="2" t="s">
        <v>16</v>
      </c>
      <c r="E5337" s="4">
        <f>23.54*(1-Z1%)</f>
        <v>23.54</v>
      </c>
      <c r="F5337" s="2">
        <v>50</v>
      </c>
      <c r="G5337" s="2"/>
    </row>
    <row r="5338" spans="1:26" customHeight="1" ht="18" hidden="true" outlineLevel="3">
      <c r="A5338" s="2" t="s">
        <v>10097</v>
      </c>
      <c r="B5338" s="3" t="s">
        <v>10098</v>
      </c>
      <c r="C5338" s="2"/>
      <c r="D5338" s="2" t="s">
        <v>16</v>
      </c>
      <c r="E5338" s="4">
        <f>19.96*(1-Z1%)</f>
        <v>19.96</v>
      </c>
      <c r="F5338" s="2">
        <v>90</v>
      </c>
      <c r="G5338" s="2"/>
    </row>
    <row r="5339" spans="1:26" customHeight="1" ht="18" hidden="true" outlineLevel="3">
      <c r="A5339" s="2" t="s">
        <v>10099</v>
      </c>
      <c r="B5339" s="3" t="s">
        <v>10100</v>
      </c>
      <c r="C5339" s="2"/>
      <c r="D5339" s="2" t="s">
        <v>16</v>
      </c>
      <c r="E5339" s="4">
        <f>37.07*(1-Z1%)</f>
        <v>37.07</v>
      </c>
      <c r="F5339" s="2">
        <v>10</v>
      </c>
      <c r="G5339" s="2"/>
    </row>
    <row r="5340" spans="1:26" customHeight="1" ht="18" hidden="true" outlineLevel="3">
      <c r="A5340" s="2" t="s">
        <v>10101</v>
      </c>
      <c r="B5340" s="3" t="s">
        <v>10102</v>
      </c>
      <c r="C5340" s="2"/>
      <c r="D5340" s="2" t="s">
        <v>16</v>
      </c>
      <c r="E5340" s="4">
        <f>23.54*(1-Z1%)</f>
        <v>23.54</v>
      </c>
      <c r="F5340" s="2">
        <v>50</v>
      </c>
      <c r="G5340" s="2"/>
    </row>
    <row r="5341" spans="1:26" customHeight="1" ht="18" hidden="true" outlineLevel="3">
      <c r="A5341" s="2" t="s">
        <v>10103</v>
      </c>
      <c r="B5341" s="3" t="s">
        <v>10104</v>
      </c>
      <c r="C5341" s="2"/>
      <c r="D5341" s="2" t="s">
        <v>16</v>
      </c>
      <c r="E5341" s="4">
        <f>48.68*(1-Z1%)</f>
        <v>48.68</v>
      </c>
      <c r="F5341" s="2">
        <v>69</v>
      </c>
      <c r="G5341" s="2"/>
    </row>
    <row r="5342" spans="1:26" customHeight="1" ht="18" hidden="true" outlineLevel="3">
      <c r="A5342" s="2" t="s">
        <v>10105</v>
      </c>
      <c r="B5342" s="3" t="s">
        <v>10106</v>
      </c>
      <c r="C5342" s="2"/>
      <c r="D5342" s="2" t="s">
        <v>16</v>
      </c>
      <c r="E5342" s="4">
        <f>59.31*(1-Z1%)</f>
        <v>59.31</v>
      </c>
      <c r="F5342" s="2">
        <v>56</v>
      </c>
      <c r="G5342" s="2"/>
    </row>
    <row r="5343" spans="1:26" customHeight="1" ht="18" hidden="true" outlineLevel="3">
      <c r="A5343" s="2" t="s">
        <v>10107</v>
      </c>
      <c r="B5343" s="3" t="s">
        <v>10108</v>
      </c>
      <c r="C5343" s="2"/>
      <c r="D5343" s="2" t="s">
        <v>16</v>
      </c>
      <c r="E5343" s="4">
        <f>70.16*(1-Z1%)</f>
        <v>70.16</v>
      </c>
      <c r="F5343" s="2">
        <v>50</v>
      </c>
      <c r="G5343" s="2"/>
    </row>
    <row r="5344" spans="1:26" customHeight="1" ht="18" hidden="true" outlineLevel="3">
      <c r="A5344" s="2" t="s">
        <v>10109</v>
      </c>
      <c r="B5344" s="3" t="s">
        <v>10110</v>
      </c>
      <c r="C5344" s="2"/>
      <c r="D5344" s="2" t="s">
        <v>16</v>
      </c>
      <c r="E5344" s="4">
        <f>69.59*(1-Z1%)</f>
        <v>69.59</v>
      </c>
      <c r="F5344" s="2">
        <v>20</v>
      </c>
      <c r="G5344" s="2"/>
    </row>
    <row r="5345" spans="1:26" customHeight="1" ht="36" hidden="true" outlineLevel="3">
      <c r="A5345" s="2" t="s">
        <v>10111</v>
      </c>
      <c r="B5345" s="3" t="s">
        <v>10112</v>
      </c>
      <c r="C5345" s="2"/>
      <c r="D5345" s="2" t="s">
        <v>16</v>
      </c>
      <c r="E5345" s="4">
        <f>70.52*(1-Z1%)</f>
        <v>70.52</v>
      </c>
      <c r="F5345" s="2">
        <v>16</v>
      </c>
      <c r="G5345" s="2"/>
    </row>
    <row r="5346" spans="1:26" customHeight="1" ht="36" hidden="true" outlineLevel="3">
      <c r="A5346" s="2" t="s">
        <v>10113</v>
      </c>
      <c r="B5346" s="3" t="s">
        <v>10114</v>
      </c>
      <c r="C5346" s="2"/>
      <c r="D5346" s="2" t="s">
        <v>16</v>
      </c>
      <c r="E5346" s="4">
        <f>70.63*(1-Z1%)</f>
        <v>70.63</v>
      </c>
      <c r="F5346" s="2">
        <v>17</v>
      </c>
      <c r="G5346" s="2"/>
    </row>
    <row r="5347" spans="1:26" customHeight="1" ht="18" hidden="true" outlineLevel="3">
      <c r="A5347" s="2" t="s">
        <v>10115</v>
      </c>
      <c r="B5347" s="3" t="s">
        <v>10116</v>
      </c>
      <c r="C5347" s="2"/>
      <c r="D5347" s="2" t="s">
        <v>16</v>
      </c>
      <c r="E5347" s="4">
        <f>53.23*(1-Z1%)</f>
        <v>53.23</v>
      </c>
      <c r="F5347" s="2">
        <v>10</v>
      </c>
      <c r="G5347" s="2"/>
    </row>
    <row r="5348" spans="1:26" customHeight="1" ht="36" hidden="true" outlineLevel="3">
      <c r="A5348" s="2" t="s">
        <v>10117</v>
      </c>
      <c r="B5348" s="3" t="s">
        <v>10118</v>
      </c>
      <c r="C5348" s="2"/>
      <c r="D5348" s="2" t="s">
        <v>16</v>
      </c>
      <c r="E5348" s="4">
        <f>52.08*(1-Z1%)</f>
        <v>52.08</v>
      </c>
      <c r="F5348" s="2">
        <v>48</v>
      </c>
      <c r="G5348" s="2"/>
    </row>
    <row r="5349" spans="1:26" customHeight="1" ht="18" hidden="true" outlineLevel="3">
      <c r="A5349" s="2" t="s">
        <v>10119</v>
      </c>
      <c r="B5349" s="3" t="s">
        <v>10120</v>
      </c>
      <c r="C5349" s="2"/>
      <c r="D5349" s="2" t="s">
        <v>16</v>
      </c>
      <c r="E5349" s="4">
        <f>53.23*(1-Z1%)</f>
        <v>53.23</v>
      </c>
      <c r="F5349" s="2">
        <v>10</v>
      </c>
      <c r="G5349" s="2"/>
    </row>
    <row r="5350" spans="1:26" customHeight="1" ht="36" hidden="true" outlineLevel="3">
      <c r="A5350" s="2" t="s">
        <v>10121</v>
      </c>
      <c r="B5350" s="3" t="s">
        <v>10122</v>
      </c>
      <c r="C5350" s="2"/>
      <c r="D5350" s="2" t="s">
        <v>16</v>
      </c>
      <c r="E5350" s="4">
        <f>75.13*(1-Z1%)</f>
        <v>75.13</v>
      </c>
      <c r="F5350" s="2">
        <v>5</v>
      </c>
      <c r="G5350" s="2"/>
    </row>
    <row r="5351" spans="1:26" customHeight="1" ht="36" hidden="true" outlineLevel="3">
      <c r="A5351" s="2" t="s">
        <v>10123</v>
      </c>
      <c r="B5351" s="3" t="s">
        <v>10124</v>
      </c>
      <c r="C5351" s="2"/>
      <c r="D5351" s="2" t="s">
        <v>16</v>
      </c>
      <c r="E5351" s="4">
        <f>72.44*(1-Z1%)</f>
        <v>72.44</v>
      </c>
      <c r="F5351" s="2">
        <v>1</v>
      </c>
      <c r="G5351" s="2"/>
    </row>
    <row r="5352" spans="1:26" customHeight="1" ht="36" hidden="true" outlineLevel="3">
      <c r="A5352" s="2" t="s">
        <v>10125</v>
      </c>
      <c r="B5352" s="3" t="s">
        <v>10126</v>
      </c>
      <c r="C5352" s="2"/>
      <c r="D5352" s="2" t="s">
        <v>16</v>
      </c>
      <c r="E5352" s="4">
        <f>74.87*(1-Z1%)</f>
        <v>74.87</v>
      </c>
      <c r="F5352" s="2">
        <v>10</v>
      </c>
      <c r="G5352" s="2"/>
    </row>
    <row r="5353" spans="1:26" customHeight="1" ht="36" hidden="true" outlineLevel="3">
      <c r="A5353" s="2" t="s">
        <v>10127</v>
      </c>
      <c r="B5353" s="3" t="s">
        <v>10128</v>
      </c>
      <c r="C5353" s="2"/>
      <c r="D5353" s="2" t="s">
        <v>16</v>
      </c>
      <c r="E5353" s="4">
        <f>73.57*(1-Z1%)</f>
        <v>73.57</v>
      </c>
      <c r="F5353" s="2">
        <v>3</v>
      </c>
      <c r="G5353" s="2"/>
    </row>
    <row r="5354" spans="1:26" customHeight="1" ht="36" hidden="true" outlineLevel="3">
      <c r="A5354" s="2" t="s">
        <v>10129</v>
      </c>
      <c r="B5354" s="3" t="s">
        <v>10130</v>
      </c>
      <c r="C5354" s="2"/>
      <c r="D5354" s="2" t="s">
        <v>16</v>
      </c>
      <c r="E5354" s="4">
        <f>63.66*(1-Z1%)</f>
        <v>63.66</v>
      </c>
      <c r="F5354" s="2">
        <v>6</v>
      </c>
      <c r="G5354" s="2"/>
    </row>
    <row r="5355" spans="1:26" customHeight="1" ht="36" hidden="true" outlineLevel="3">
      <c r="A5355" s="2" t="s">
        <v>10131</v>
      </c>
      <c r="B5355" s="3" t="s">
        <v>10132</v>
      </c>
      <c r="C5355" s="2"/>
      <c r="D5355" s="2" t="s">
        <v>16</v>
      </c>
      <c r="E5355" s="4">
        <f>82.43*(1-Z1%)</f>
        <v>82.43</v>
      </c>
      <c r="F5355" s="2">
        <v>3</v>
      </c>
      <c r="G5355" s="2"/>
    </row>
    <row r="5356" spans="1:26" customHeight="1" ht="36" hidden="true" outlineLevel="3">
      <c r="A5356" s="2" t="s">
        <v>10133</v>
      </c>
      <c r="B5356" s="3" t="s">
        <v>10134</v>
      </c>
      <c r="C5356" s="2"/>
      <c r="D5356" s="2" t="s">
        <v>16</v>
      </c>
      <c r="E5356" s="4">
        <f>67.28*(1-Z1%)</f>
        <v>67.28</v>
      </c>
      <c r="F5356" s="2">
        <v>2</v>
      </c>
      <c r="G5356" s="2"/>
    </row>
    <row r="5357" spans="1:26" customHeight="1" ht="36" hidden="true" outlineLevel="3">
      <c r="A5357" s="2" t="s">
        <v>10135</v>
      </c>
      <c r="B5357" s="3" t="s">
        <v>10136</v>
      </c>
      <c r="C5357" s="2"/>
      <c r="D5357" s="2" t="s">
        <v>16</v>
      </c>
      <c r="E5357" s="4">
        <f>74.36*(1-Z1%)</f>
        <v>74.36</v>
      </c>
      <c r="F5357" s="2">
        <v>10</v>
      </c>
      <c r="G5357" s="2"/>
    </row>
    <row r="5358" spans="1:26" customHeight="1" ht="36" hidden="true" outlineLevel="3">
      <c r="A5358" s="2" t="s">
        <v>10137</v>
      </c>
      <c r="B5358" s="3" t="s">
        <v>10138</v>
      </c>
      <c r="C5358" s="2"/>
      <c r="D5358" s="2" t="s">
        <v>16</v>
      </c>
      <c r="E5358" s="4">
        <f>73.67*(1-Z1%)</f>
        <v>73.67</v>
      </c>
      <c r="F5358" s="2">
        <v>10</v>
      </c>
      <c r="G5358" s="2"/>
    </row>
    <row r="5359" spans="1:26" customHeight="1" ht="36" hidden="true" outlineLevel="3">
      <c r="A5359" s="2" t="s">
        <v>10139</v>
      </c>
      <c r="B5359" s="3" t="s">
        <v>10140</v>
      </c>
      <c r="C5359" s="2"/>
      <c r="D5359" s="2" t="s">
        <v>16</v>
      </c>
      <c r="E5359" s="4">
        <f>68.83*(1-Z1%)</f>
        <v>68.83</v>
      </c>
      <c r="F5359" s="2">
        <v>20</v>
      </c>
      <c r="G5359" s="2"/>
    </row>
    <row r="5360" spans="1:26" customHeight="1" ht="36" hidden="true" outlineLevel="3">
      <c r="A5360" s="2" t="s">
        <v>10141</v>
      </c>
      <c r="B5360" s="3" t="s">
        <v>10142</v>
      </c>
      <c r="C5360" s="2"/>
      <c r="D5360" s="2" t="s">
        <v>16</v>
      </c>
      <c r="E5360" s="4">
        <f>56.77*(1-Z1%)</f>
        <v>56.77</v>
      </c>
      <c r="F5360" s="2">
        <v>10</v>
      </c>
      <c r="G5360" s="2"/>
    </row>
    <row r="5361" spans="1:26" customHeight="1" ht="36" hidden="true" outlineLevel="3">
      <c r="A5361" s="2" t="s">
        <v>10143</v>
      </c>
      <c r="B5361" s="3" t="s">
        <v>10144</v>
      </c>
      <c r="C5361" s="2"/>
      <c r="D5361" s="2" t="s">
        <v>16</v>
      </c>
      <c r="E5361" s="4">
        <f>57.87*(1-Z1%)</f>
        <v>57.87</v>
      </c>
      <c r="F5361" s="2">
        <v>12</v>
      </c>
      <c r="G5361" s="2"/>
    </row>
    <row r="5362" spans="1:26" customHeight="1" ht="36" hidden="true" outlineLevel="3">
      <c r="A5362" s="2" t="s">
        <v>10145</v>
      </c>
      <c r="B5362" s="3" t="s">
        <v>10146</v>
      </c>
      <c r="C5362" s="2"/>
      <c r="D5362" s="2" t="s">
        <v>16</v>
      </c>
      <c r="E5362" s="4">
        <f>78.24*(1-Z1%)</f>
        <v>78.24</v>
      </c>
      <c r="F5362" s="2">
        <v>20</v>
      </c>
      <c r="G5362" s="2"/>
    </row>
    <row r="5363" spans="1:26" customHeight="1" ht="35" hidden="true" outlineLevel="3">
      <c r="A5363" s="5" t="s">
        <v>10147</v>
      </c>
      <c r="B5363" s="5"/>
      <c r="C5363" s="5"/>
      <c r="D5363" s="5"/>
      <c r="E5363" s="5"/>
      <c r="F5363" s="5"/>
      <c r="G5363" s="5"/>
    </row>
    <row r="5364" spans="1:26" customHeight="1" ht="18" hidden="true" outlineLevel="3">
      <c r="A5364" s="2" t="s">
        <v>10148</v>
      </c>
      <c r="B5364" s="3" t="s">
        <v>10149</v>
      </c>
      <c r="C5364" s="2"/>
      <c r="D5364" s="2" t="s">
        <v>16</v>
      </c>
      <c r="E5364" s="4">
        <f>134.51*(1-Z1%)</f>
        <v>134.51</v>
      </c>
      <c r="F5364" s="2">
        <v>19</v>
      </c>
      <c r="G5364" s="2"/>
    </row>
    <row r="5365" spans="1:26" customHeight="1" ht="18" hidden="true" outlineLevel="3">
      <c r="A5365" s="2" t="s">
        <v>10150</v>
      </c>
      <c r="B5365" s="3" t="s">
        <v>10151</v>
      </c>
      <c r="C5365" s="2"/>
      <c r="D5365" s="2" t="s">
        <v>16</v>
      </c>
      <c r="E5365" s="4">
        <f>142.09*(1-Z1%)</f>
        <v>142.09</v>
      </c>
      <c r="F5365" s="2">
        <v>18</v>
      </c>
      <c r="G5365" s="2"/>
    </row>
    <row r="5366" spans="1:26" customHeight="1" ht="18" hidden="true" outlineLevel="3">
      <c r="A5366" s="2" t="s">
        <v>10152</v>
      </c>
      <c r="B5366" s="3" t="s">
        <v>10153</v>
      </c>
      <c r="C5366" s="2"/>
      <c r="D5366" s="2" t="s">
        <v>16</v>
      </c>
      <c r="E5366" s="4">
        <f>77.03*(1-Z1%)</f>
        <v>77.03</v>
      </c>
      <c r="F5366" s="2">
        <v>21</v>
      </c>
      <c r="G5366" s="2"/>
    </row>
    <row r="5367" spans="1:26" customHeight="1" ht="18" hidden="true" outlineLevel="3">
      <c r="A5367" s="2" t="s">
        <v>10154</v>
      </c>
      <c r="B5367" s="3" t="s">
        <v>10155</v>
      </c>
      <c r="C5367" s="2"/>
      <c r="D5367" s="2" t="s">
        <v>16</v>
      </c>
      <c r="E5367" s="4">
        <f>169.00*(1-Z1%)</f>
        <v>169</v>
      </c>
      <c r="F5367" s="2">
        <v>10</v>
      </c>
      <c r="G5367" s="2"/>
    </row>
    <row r="5368" spans="1:26" customHeight="1" ht="18" hidden="true" outlineLevel="3">
      <c r="A5368" s="2" t="s">
        <v>10156</v>
      </c>
      <c r="B5368" s="3" t="s">
        <v>10157</v>
      </c>
      <c r="C5368" s="2"/>
      <c r="D5368" s="2" t="s">
        <v>16</v>
      </c>
      <c r="E5368" s="4">
        <f>95.69*(1-Z1%)</f>
        <v>95.69</v>
      </c>
      <c r="F5368" s="2">
        <v>27</v>
      </c>
      <c r="G5368" s="2"/>
    </row>
    <row r="5369" spans="1:26" customHeight="1" ht="18" hidden="true" outlineLevel="3">
      <c r="A5369" s="2" t="s">
        <v>10158</v>
      </c>
      <c r="B5369" s="3" t="s">
        <v>10159</v>
      </c>
      <c r="C5369" s="2"/>
      <c r="D5369" s="2" t="s">
        <v>16</v>
      </c>
      <c r="E5369" s="4">
        <f>110.65*(1-Z1%)</f>
        <v>110.65</v>
      </c>
      <c r="F5369" s="2">
        <v>4</v>
      </c>
      <c r="G5369" s="2"/>
    </row>
    <row r="5370" spans="1:26" customHeight="1" ht="18" hidden="true" outlineLevel="3">
      <c r="A5370" s="2" t="s">
        <v>10160</v>
      </c>
      <c r="B5370" s="3" t="s">
        <v>10161</v>
      </c>
      <c r="C5370" s="2"/>
      <c r="D5370" s="2" t="s">
        <v>16</v>
      </c>
      <c r="E5370" s="4">
        <f>153.88*(1-Z1%)</f>
        <v>153.88</v>
      </c>
      <c r="F5370" s="2">
        <v>5</v>
      </c>
      <c r="G5370" s="2"/>
    </row>
    <row r="5371" spans="1:26" customHeight="1" ht="18" hidden="true" outlineLevel="3">
      <c r="A5371" s="2" t="s">
        <v>10162</v>
      </c>
      <c r="B5371" s="3" t="s">
        <v>10163</v>
      </c>
      <c r="C5371" s="2"/>
      <c r="D5371" s="2" t="s">
        <v>16</v>
      </c>
      <c r="E5371" s="4">
        <f>186.02*(1-Z1%)</f>
        <v>186.02</v>
      </c>
      <c r="F5371" s="2">
        <v>3</v>
      </c>
      <c r="G5371" s="2"/>
    </row>
    <row r="5372" spans="1:26" customHeight="1" ht="18" hidden="true" outlineLevel="3">
      <c r="A5372" s="2" t="s">
        <v>10164</v>
      </c>
      <c r="B5372" s="3" t="s">
        <v>10165</v>
      </c>
      <c r="C5372" s="2"/>
      <c r="D5372" s="2" t="s">
        <v>16</v>
      </c>
      <c r="E5372" s="4">
        <f>136.53*(1-Z1%)</f>
        <v>136.53</v>
      </c>
      <c r="F5372" s="2">
        <v>8</v>
      </c>
      <c r="G5372" s="2"/>
    </row>
    <row r="5373" spans="1:26" customHeight="1" ht="18" hidden="true" outlineLevel="3">
      <c r="A5373" s="2" t="s">
        <v>10166</v>
      </c>
      <c r="B5373" s="3" t="s">
        <v>10167</v>
      </c>
      <c r="C5373" s="2"/>
      <c r="D5373" s="2" t="s">
        <v>16</v>
      </c>
      <c r="E5373" s="4">
        <f>154.67*(1-Z1%)</f>
        <v>154.67</v>
      </c>
      <c r="F5373" s="2">
        <v>7</v>
      </c>
      <c r="G5373" s="2"/>
    </row>
    <row r="5374" spans="1:26" customHeight="1" ht="18" hidden="true" outlineLevel="3">
      <c r="A5374" s="2" t="s">
        <v>10168</v>
      </c>
      <c r="B5374" s="3" t="s">
        <v>10169</v>
      </c>
      <c r="C5374" s="2"/>
      <c r="D5374" s="2" t="s">
        <v>16</v>
      </c>
      <c r="E5374" s="4">
        <f>198.50*(1-Z1%)</f>
        <v>198.5</v>
      </c>
      <c r="F5374" s="2">
        <v>4</v>
      </c>
      <c r="G5374" s="2"/>
    </row>
    <row r="5375" spans="1:26" customHeight="1" ht="18" hidden="true" outlineLevel="3">
      <c r="A5375" s="2" t="s">
        <v>10170</v>
      </c>
      <c r="B5375" s="3" t="s">
        <v>10171</v>
      </c>
      <c r="C5375" s="2"/>
      <c r="D5375" s="2" t="s">
        <v>16</v>
      </c>
      <c r="E5375" s="4">
        <f>4.06*(1-Z1%)</f>
        <v>4.06</v>
      </c>
      <c r="F5375" s="2">
        <v>31</v>
      </c>
      <c r="G5375" s="2"/>
    </row>
    <row r="5376" spans="1:26" customHeight="1" ht="18" hidden="true" outlineLevel="3">
      <c r="A5376" s="2" t="s">
        <v>10172</v>
      </c>
      <c r="B5376" s="3" t="s">
        <v>10173</v>
      </c>
      <c r="C5376" s="2"/>
      <c r="D5376" s="2" t="s">
        <v>16</v>
      </c>
      <c r="E5376" s="4">
        <f>10.61*(1-Z1%)</f>
        <v>10.61</v>
      </c>
      <c r="F5376" s="2">
        <v>9</v>
      </c>
      <c r="G5376" s="2"/>
    </row>
    <row r="5377" spans="1:26" customHeight="1" ht="35" hidden="true" outlineLevel="3">
      <c r="A5377" s="5" t="s">
        <v>10174</v>
      </c>
      <c r="B5377" s="5"/>
      <c r="C5377" s="5"/>
      <c r="D5377" s="5"/>
      <c r="E5377" s="5"/>
      <c r="F5377" s="5"/>
      <c r="G5377" s="5"/>
    </row>
    <row r="5378" spans="1:26" customHeight="1" ht="18" hidden="true" outlineLevel="3">
      <c r="A5378" s="2" t="s">
        <v>10175</v>
      </c>
      <c r="B5378" s="3" t="s">
        <v>10176</v>
      </c>
      <c r="C5378" s="2"/>
      <c r="D5378" s="2" t="s">
        <v>16</v>
      </c>
      <c r="E5378" s="4">
        <f>18.34*(1-Z1%)</f>
        <v>18.34</v>
      </c>
      <c r="F5378" s="2">
        <v>85</v>
      </c>
      <c r="G5378" s="2"/>
    </row>
    <row r="5379" spans="1:26" customHeight="1" ht="18" hidden="true" outlineLevel="3">
      <c r="A5379" s="2" t="s">
        <v>10177</v>
      </c>
      <c r="B5379" s="3" t="s">
        <v>10178</v>
      </c>
      <c r="C5379" s="2"/>
      <c r="D5379" s="2" t="s">
        <v>16</v>
      </c>
      <c r="E5379" s="4">
        <f>19.31*(1-Z1%)</f>
        <v>19.31</v>
      </c>
      <c r="F5379" s="2">
        <v>110</v>
      </c>
      <c r="G5379" s="2"/>
    </row>
    <row r="5380" spans="1:26" customHeight="1" ht="18" hidden="true" outlineLevel="3">
      <c r="A5380" s="2" t="s">
        <v>10179</v>
      </c>
      <c r="B5380" s="3" t="s">
        <v>10180</v>
      </c>
      <c r="C5380" s="2"/>
      <c r="D5380" s="2" t="s">
        <v>16</v>
      </c>
      <c r="E5380" s="4">
        <f>62.78*(1-Z1%)</f>
        <v>62.78</v>
      </c>
      <c r="F5380" s="2">
        <v>20</v>
      </c>
      <c r="G5380" s="2"/>
    </row>
    <row r="5381" spans="1:26" customHeight="1" ht="18" hidden="true" outlineLevel="3">
      <c r="A5381" s="2" t="s">
        <v>10181</v>
      </c>
      <c r="B5381" s="3" t="s">
        <v>10182</v>
      </c>
      <c r="C5381" s="2"/>
      <c r="D5381" s="2" t="s">
        <v>16</v>
      </c>
      <c r="E5381" s="4">
        <f>50.47*(1-Z1%)</f>
        <v>50.47</v>
      </c>
      <c r="F5381" s="2">
        <v>10</v>
      </c>
      <c r="G5381" s="2"/>
    </row>
    <row r="5382" spans="1:26" customHeight="1" ht="18" hidden="true" outlineLevel="3">
      <c r="A5382" s="2" t="s">
        <v>10183</v>
      </c>
      <c r="B5382" s="3" t="s">
        <v>10184</v>
      </c>
      <c r="C5382" s="2"/>
      <c r="D5382" s="2" t="s">
        <v>16</v>
      </c>
      <c r="E5382" s="4">
        <f>62.78*(1-Z1%)</f>
        <v>62.78</v>
      </c>
      <c r="F5382" s="2">
        <v>10</v>
      </c>
      <c r="G5382" s="2"/>
    </row>
    <row r="5383" spans="1:26" customHeight="1" ht="18" hidden="true" outlineLevel="3">
      <c r="A5383" s="2" t="s">
        <v>10185</v>
      </c>
      <c r="B5383" s="3" t="s">
        <v>10186</v>
      </c>
      <c r="C5383" s="2"/>
      <c r="D5383" s="2" t="s">
        <v>16</v>
      </c>
      <c r="E5383" s="4">
        <f>50.49*(1-Z1%)</f>
        <v>50.49</v>
      </c>
      <c r="F5383" s="2">
        <v>20</v>
      </c>
      <c r="G5383" s="2"/>
    </row>
    <row r="5384" spans="1:26" customHeight="1" ht="18" hidden="true" outlineLevel="3">
      <c r="A5384" s="2" t="s">
        <v>10187</v>
      </c>
      <c r="B5384" s="3" t="s">
        <v>10188</v>
      </c>
      <c r="C5384" s="2"/>
      <c r="D5384" s="2" t="s">
        <v>16</v>
      </c>
      <c r="E5384" s="4">
        <f>53.94*(1-Z1%)</f>
        <v>53.94</v>
      </c>
      <c r="F5384" s="2">
        <v>5</v>
      </c>
      <c r="G5384" s="2"/>
    </row>
    <row r="5385" spans="1:26" customHeight="1" ht="18" hidden="true" outlineLevel="3">
      <c r="A5385" s="2" t="s">
        <v>10189</v>
      </c>
      <c r="B5385" s="3" t="s">
        <v>10190</v>
      </c>
      <c r="C5385" s="2"/>
      <c r="D5385" s="2" t="s">
        <v>16</v>
      </c>
      <c r="E5385" s="4">
        <f>15.46*(1-Z1%)</f>
        <v>15.46</v>
      </c>
      <c r="F5385" s="2">
        <v>15</v>
      </c>
      <c r="G5385" s="2"/>
    </row>
    <row r="5386" spans="1:26" customHeight="1" ht="18" hidden="true" outlineLevel="3">
      <c r="A5386" s="2" t="s">
        <v>10191</v>
      </c>
      <c r="B5386" s="3" t="s">
        <v>10192</v>
      </c>
      <c r="C5386" s="2"/>
      <c r="D5386" s="2" t="s">
        <v>16</v>
      </c>
      <c r="E5386" s="4">
        <f>18.30*(1-Z1%)</f>
        <v>18.3</v>
      </c>
      <c r="F5386" s="2">
        <v>55</v>
      </c>
      <c r="G5386" s="2"/>
    </row>
    <row r="5387" spans="1:26" customHeight="1" ht="18" hidden="true" outlineLevel="3">
      <c r="A5387" s="2" t="s">
        <v>10193</v>
      </c>
      <c r="B5387" s="3" t="s">
        <v>10194</v>
      </c>
      <c r="C5387" s="2"/>
      <c r="D5387" s="2" t="s">
        <v>16</v>
      </c>
      <c r="E5387" s="4">
        <f>18.30*(1-Z1%)</f>
        <v>18.3</v>
      </c>
      <c r="F5387" s="2">
        <v>78</v>
      </c>
      <c r="G5387" s="2"/>
    </row>
    <row r="5388" spans="1:26" customHeight="1" ht="18" hidden="true" outlineLevel="3">
      <c r="A5388" s="2" t="s">
        <v>10195</v>
      </c>
      <c r="B5388" s="3" t="s">
        <v>10196</v>
      </c>
      <c r="C5388" s="2"/>
      <c r="D5388" s="2" t="s">
        <v>16</v>
      </c>
      <c r="E5388" s="4">
        <f>18.30*(1-Z1%)</f>
        <v>18.3</v>
      </c>
      <c r="F5388" s="2">
        <v>72</v>
      </c>
      <c r="G5388" s="2"/>
    </row>
    <row r="5389" spans="1:26" customHeight="1" ht="18" hidden="true" outlineLevel="3">
      <c r="A5389" s="2" t="s">
        <v>10197</v>
      </c>
      <c r="B5389" s="3" t="s">
        <v>10198</v>
      </c>
      <c r="C5389" s="2"/>
      <c r="D5389" s="2" t="s">
        <v>16</v>
      </c>
      <c r="E5389" s="4">
        <f>18.30*(1-Z1%)</f>
        <v>18.3</v>
      </c>
      <c r="F5389" s="2">
        <v>60</v>
      </c>
      <c r="G5389" s="2"/>
    </row>
    <row r="5390" spans="1:26" customHeight="1" ht="18" hidden="true" outlineLevel="3">
      <c r="A5390" s="2" t="s">
        <v>10199</v>
      </c>
      <c r="B5390" s="3" t="s">
        <v>10200</v>
      </c>
      <c r="C5390" s="2"/>
      <c r="D5390" s="2" t="s">
        <v>16</v>
      </c>
      <c r="E5390" s="4">
        <f>30.88*(1-Z1%)</f>
        <v>30.88</v>
      </c>
      <c r="F5390" s="2">
        <v>7</v>
      </c>
      <c r="G5390" s="2"/>
    </row>
    <row r="5391" spans="1:26" customHeight="1" ht="18" hidden="true" outlineLevel="3">
      <c r="A5391" s="2" t="s">
        <v>10201</v>
      </c>
      <c r="B5391" s="3" t="s">
        <v>10202</v>
      </c>
      <c r="C5391" s="2"/>
      <c r="D5391" s="2" t="s">
        <v>16</v>
      </c>
      <c r="E5391" s="4">
        <f>30.64*(1-Z1%)</f>
        <v>30.64</v>
      </c>
      <c r="F5391" s="2">
        <v>5</v>
      </c>
      <c r="G5391" s="2"/>
    </row>
    <row r="5392" spans="1:26" customHeight="1" ht="18" hidden="true" outlineLevel="3">
      <c r="A5392" s="2" t="s">
        <v>10203</v>
      </c>
      <c r="B5392" s="3" t="s">
        <v>10204</v>
      </c>
      <c r="C5392" s="2"/>
      <c r="D5392" s="2" t="s">
        <v>16</v>
      </c>
      <c r="E5392" s="4">
        <f>27.27*(1-Z1%)</f>
        <v>27.27</v>
      </c>
      <c r="F5392" s="2">
        <v>20</v>
      </c>
      <c r="G5392" s="2"/>
    </row>
    <row r="5393" spans="1:26" customHeight="1" ht="18" hidden="true" outlineLevel="3">
      <c r="A5393" s="2" t="s">
        <v>10205</v>
      </c>
      <c r="B5393" s="3" t="s">
        <v>10206</v>
      </c>
      <c r="C5393" s="2"/>
      <c r="D5393" s="2" t="s">
        <v>16</v>
      </c>
      <c r="E5393" s="4">
        <f>29.78*(1-Z1%)</f>
        <v>29.78</v>
      </c>
      <c r="F5393" s="2">
        <v>17</v>
      </c>
      <c r="G5393" s="2"/>
    </row>
    <row r="5394" spans="1:26" customHeight="1" ht="18" hidden="true" outlineLevel="3">
      <c r="A5394" s="2" t="s">
        <v>10207</v>
      </c>
      <c r="B5394" s="3" t="s">
        <v>10208</v>
      </c>
      <c r="C5394" s="2"/>
      <c r="D5394" s="2" t="s">
        <v>16</v>
      </c>
      <c r="E5394" s="4">
        <f>62.47*(1-Z1%)</f>
        <v>62.47</v>
      </c>
      <c r="F5394" s="2">
        <v>24</v>
      </c>
      <c r="G5394" s="2"/>
    </row>
    <row r="5395" spans="1:26" customHeight="1" ht="35" hidden="true" outlineLevel="3">
      <c r="A5395" s="5" t="s">
        <v>10209</v>
      </c>
      <c r="B5395" s="5"/>
      <c r="C5395" s="5"/>
      <c r="D5395" s="5"/>
      <c r="E5395" s="5"/>
      <c r="F5395" s="5"/>
      <c r="G5395" s="5"/>
    </row>
    <row r="5396" spans="1:26" customHeight="1" ht="35" hidden="true" outlineLevel="4">
      <c r="A5396" s="5" t="s">
        <v>10210</v>
      </c>
      <c r="B5396" s="5"/>
      <c r="C5396" s="5"/>
      <c r="D5396" s="5"/>
      <c r="E5396" s="5"/>
      <c r="F5396" s="5"/>
      <c r="G5396" s="5"/>
    </row>
    <row r="5397" spans="1:26" customHeight="1" ht="36" hidden="true" outlineLevel="4">
      <c r="A5397" s="2" t="s">
        <v>10211</v>
      </c>
      <c r="B5397" s="3" t="s">
        <v>10212</v>
      </c>
      <c r="C5397" s="2"/>
      <c r="D5397" s="2" t="s">
        <v>16</v>
      </c>
      <c r="E5397" s="4">
        <f>81.38*(1-Z1%)</f>
        <v>81.38</v>
      </c>
      <c r="F5397" s="2">
        <v>10</v>
      </c>
      <c r="G5397" s="2"/>
    </row>
    <row r="5398" spans="1:26" customHeight="1" ht="36" hidden="true" outlineLevel="4">
      <c r="A5398" s="2" t="s">
        <v>10213</v>
      </c>
      <c r="B5398" s="3" t="s">
        <v>10214</v>
      </c>
      <c r="C5398" s="2"/>
      <c r="D5398" s="2" t="s">
        <v>16</v>
      </c>
      <c r="E5398" s="4">
        <f>81.38*(1-Z1%)</f>
        <v>81.38</v>
      </c>
      <c r="F5398" s="2">
        <v>10</v>
      </c>
      <c r="G5398" s="2"/>
    </row>
    <row r="5399" spans="1:26" customHeight="1" ht="36" hidden="true" outlineLevel="4">
      <c r="A5399" s="2" t="s">
        <v>10215</v>
      </c>
      <c r="B5399" s="3" t="s">
        <v>10216</v>
      </c>
      <c r="C5399" s="2"/>
      <c r="D5399" s="2" t="s">
        <v>16</v>
      </c>
      <c r="E5399" s="4">
        <f>77.29*(1-Z1%)</f>
        <v>77.29</v>
      </c>
      <c r="F5399" s="2">
        <v>10</v>
      </c>
      <c r="G5399" s="2"/>
    </row>
    <row r="5400" spans="1:26" customHeight="1" ht="36" hidden="true" outlineLevel="4">
      <c r="A5400" s="2" t="s">
        <v>10217</v>
      </c>
      <c r="B5400" s="3" t="s">
        <v>10218</v>
      </c>
      <c r="C5400" s="2"/>
      <c r="D5400" s="2" t="s">
        <v>16</v>
      </c>
      <c r="E5400" s="4">
        <f>81.38*(1-Z1%)</f>
        <v>81.38</v>
      </c>
      <c r="F5400" s="2">
        <v>16</v>
      </c>
      <c r="G5400" s="2"/>
    </row>
    <row r="5401" spans="1:26" customHeight="1" ht="36" hidden="true" outlineLevel="4">
      <c r="A5401" s="2" t="s">
        <v>10219</v>
      </c>
      <c r="B5401" s="3" t="s">
        <v>10220</v>
      </c>
      <c r="C5401" s="2"/>
      <c r="D5401" s="2" t="s">
        <v>16</v>
      </c>
      <c r="E5401" s="4">
        <f>96.54*(1-Z1%)</f>
        <v>96.54</v>
      </c>
      <c r="F5401" s="2">
        <v>7</v>
      </c>
      <c r="G5401" s="2"/>
    </row>
    <row r="5402" spans="1:26" customHeight="1" ht="36" hidden="true" outlineLevel="4">
      <c r="A5402" s="2" t="s">
        <v>10221</v>
      </c>
      <c r="B5402" s="3" t="s">
        <v>10222</v>
      </c>
      <c r="C5402" s="2"/>
      <c r="D5402" s="2" t="s">
        <v>16</v>
      </c>
      <c r="E5402" s="4">
        <f>96.54*(1-Z1%)</f>
        <v>96.54</v>
      </c>
      <c r="F5402" s="2">
        <v>15</v>
      </c>
      <c r="G5402" s="2"/>
    </row>
    <row r="5403" spans="1:26" customHeight="1" ht="36" hidden="true" outlineLevel="4">
      <c r="A5403" s="2" t="s">
        <v>10223</v>
      </c>
      <c r="B5403" s="3" t="s">
        <v>10224</v>
      </c>
      <c r="C5403" s="2"/>
      <c r="D5403" s="2" t="s">
        <v>16</v>
      </c>
      <c r="E5403" s="4">
        <f>96.54*(1-Z1%)</f>
        <v>96.54</v>
      </c>
      <c r="F5403" s="2">
        <v>15</v>
      </c>
      <c r="G5403" s="2"/>
    </row>
    <row r="5404" spans="1:26" customHeight="1" ht="18" hidden="true" outlineLevel="4">
      <c r="A5404" s="2" t="s">
        <v>10225</v>
      </c>
      <c r="B5404" s="3" t="s">
        <v>10226</v>
      </c>
      <c r="C5404" s="2"/>
      <c r="D5404" s="2" t="s">
        <v>16</v>
      </c>
      <c r="E5404" s="4">
        <f>59.99*(1-Z1%)</f>
        <v>59.99</v>
      </c>
      <c r="F5404" s="2">
        <v>10</v>
      </c>
      <c r="G5404" s="2"/>
    </row>
    <row r="5405" spans="1:26" customHeight="1" ht="18" hidden="true" outlineLevel="4">
      <c r="A5405" s="2" t="s">
        <v>10227</v>
      </c>
      <c r="B5405" s="3" t="s">
        <v>10228</v>
      </c>
      <c r="C5405" s="2"/>
      <c r="D5405" s="2" t="s">
        <v>16</v>
      </c>
      <c r="E5405" s="4">
        <f>54.21*(1-Z1%)</f>
        <v>54.21</v>
      </c>
      <c r="F5405" s="2">
        <v>10</v>
      </c>
      <c r="G5405" s="2"/>
    </row>
    <row r="5406" spans="1:26" customHeight="1" ht="18" hidden="true" outlineLevel="4">
      <c r="A5406" s="2" t="s">
        <v>10229</v>
      </c>
      <c r="B5406" s="3" t="s">
        <v>10230</v>
      </c>
      <c r="C5406" s="2"/>
      <c r="D5406" s="2" t="s">
        <v>16</v>
      </c>
      <c r="E5406" s="4">
        <f>43.61*(1-Z1%)</f>
        <v>43.61</v>
      </c>
      <c r="F5406" s="2">
        <v>8</v>
      </c>
      <c r="G5406" s="2"/>
    </row>
    <row r="5407" spans="1:26" customHeight="1" ht="18" hidden="true" outlineLevel="4">
      <c r="A5407" s="2" t="s">
        <v>10231</v>
      </c>
      <c r="B5407" s="3" t="s">
        <v>10232</v>
      </c>
      <c r="C5407" s="2"/>
      <c r="D5407" s="2" t="s">
        <v>16</v>
      </c>
      <c r="E5407" s="4">
        <f>63.41*(1-Z1%)</f>
        <v>63.41</v>
      </c>
      <c r="F5407" s="2">
        <v>20</v>
      </c>
      <c r="G5407" s="2"/>
    </row>
    <row r="5408" spans="1:26" customHeight="1" ht="18" hidden="true" outlineLevel="4">
      <c r="A5408" s="2" t="s">
        <v>10233</v>
      </c>
      <c r="B5408" s="3" t="s">
        <v>10234</v>
      </c>
      <c r="C5408" s="2"/>
      <c r="D5408" s="2" t="s">
        <v>16</v>
      </c>
      <c r="E5408" s="4">
        <f>63.41*(1-Z1%)</f>
        <v>63.41</v>
      </c>
      <c r="F5408" s="2">
        <v>10</v>
      </c>
      <c r="G5408" s="2"/>
    </row>
    <row r="5409" spans="1:26" customHeight="1" ht="18" hidden="true" outlineLevel="4">
      <c r="A5409" s="2" t="s">
        <v>10235</v>
      </c>
      <c r="B5409" s="3" t="s">
        <v>10236</v>
      </c>
      <c r="C5409" s="2"/>
      <c r="D5409" s="2" t="s">
        <v>16</v>
      </c>
      <c r="E5409" s="4">
        <f>51.98*(1-Z1%)</f>
        <v>51.98</v>
      </c>
      <c r="F5409" s="2">
        <v>17</v>
      </c>
      <c r="G5409" s="2"/>
    </row>
    <row r="5410" spans="1:26" customHeight="1" ht="18" hidden="true" outlineLevel="4">
      <c r="A5410" s="2" t="s">
        <v>10237</v>
      </c>
      <c r="B5410" s="3" t="s">
        <v>10238</v>
      </c>
      <c r="C5410" s="2"/>
      <c r="D5410" s="2" t="s">
        <v>16</v>
      </c>
      <c r="E5410" s="4">
        <f>49.29*(1-Z1%)</f>
        <v>49.29</v>
      </c>
      <c r="F5410" s="2">
        <v>8</v>
      </c>
      <c r="G5410" s="2"/>
    </row>
    <row r="5411" spans="1:26" customHeight="1" ht="18" hidden="true" outlineLevel="4">
      <c r="A5411" s="2" t="s">
        <v>10239</v>
      </c>
      <c r="B5411" s="3" t="s">
        <v>10240</v>
      </c>
      <c r="C5411" s="2"/>
      <c r="D5411" s="2" t="s">
        <v>16</v>
      </c>
      <c r="E5411" s="4">
        <f>71.01*(1-Z1%)</f>
        <v>71.01</v>
      </c>
      <c r="F5411" s="2">
        <v>10</v>
      </c>
      <c r="G5411" s="2"/>
    </row>
    <row r="5412" spans="1:26" customHeight="1" ht="18" hidden="true" outlineLevel="4">
      <c r="A5412" s="2" t="s">
        <v>10241</v>
      </c>
      <c r="B5412" s="3" t="s">
        <v>10242</v>
      </c>
      <c r="C5412" s="2"/>
      <c r="D5412" s="2" t="s">
        <v>16</v>
      </c>
      <c r="E5412" s="4">
        <f>67.36*(1-Z1%)</f>
        <v>67.36</v>
      </c>
      <c r="F5412" s="2">
        <v>20</v>
      </c>
      <c r="G5412" s="2"/>
    </row>
    <row r="5413" spans="1:26" customHeight="1" ht="18" hidden="true" outlineLevel="4">
      <c r="A5413" s="2" t="s">
        <v>10243</v>
      </c>
      <c r="B5413" s="3" t="s">
        <v>10244</v>
      </c>
      <c r="C5413" s="2"/>
      <c r="D5413" s="2" t="s">
        <v>16</v>
      </c>
      <c r="E5413" s="4">
        <f>71.01*(1-Z1%)</f>
        <v>71.01</v>
      </c>
      <c r="F5413" s="2">
        <v>5</v>
      </c>
      <c r="G5413" s="2"/>
    </row>
    <row r="5414" spans="1:26" customHeight="1" ht="18" hidden="true" outlineLevel="4">
      <c r="A5414" s="2" t="s">
        <v>10245</v>
      </c>
      <c r="B5414" s="3" t="s">
        <v>10246</v>
      </c>
      <c r="C5414" s="2"/>
      <c r="D5414" s="2" t="s">
        <v>16</v>
      </c>
      <c r="E5414" s="4">
        <f>67.80*(1-Z1%)</f>
        <v>67.8</v>
      </c>
      <c r="F5414" s="2">
        <v>10</v>
      </c>
      <c r="G5414" s="2"/>
    </row>
    <row r="5415" spans="1:26" customHeight="1" ht="18" hidden="true" outlineLevel="4">
      <c r="A5415" s="2" t="s">
        <v>10247</v>
      </c>
      <c r="B5415" s="3" t="s">
        <v>10248</v>
      </c>
      <c r="C5415" s="2"/>
      <c r="D5415" s="2" t="s">
        <v>16</v>
      </c>
      <c r="E5415" s="4">
        <f>69.73*(1-Z1%)</f>
        <v>69.73</v>
      </c>
      <c r="F5415" s="2">
        <v>10</v>
      </c>
      <c r="G5415" s="2"/>
    </row>
    <row r="5416" spans="1:26" customHeight="1" ht="18" hidden="true" outlineLevel="4">
      <c r="A5416" s="2" t="s">
        <v>10249</v>
      </c>
      <c r="B5416" s="3" t="s">
        <v>10250</v>
      </c>
      <c r="C5416" s="2"/>
      <c r="D5416" s="2" t="s">
        <v>16</v>
      </c>
      <c r="E5416" s="4">
        <f>89.01*(1-Z1%)</f>
        <v>89.01</v>
      </c>
      <c r="F5416" s="2">
        <v>5</v>
      </c>
      <c r="G5416" s="2"/>
    </row>
    <row r="5417" spans="1:26" customHeight="1" ht="18" hidden="true" outlineLevel="4">
      <c r="A5417" s="2" t="s">
        <v>10251</v>
      </c>
      <c r="B5417" s="3" t="s">
        <v>10252</v>
      </c>
      <c r="C5417" s="2"/>
      <c r="D5417" s="2" t="s">
        <v>16</v>
      </c>
      <c r="E5417" s="4">
        <f>89.01*(1-Z1%)</f>
        <v>89.01</v>
      </c>
      <c r="F5417" s="2">
        <v>17</v>
      </c>
      <c r="G5417" s="2"/>
    </row>
    <row r="5418" spans="1:26" customHeight="1" ht="18" hidden="true" outlineLevel="4">
      <c r="A5418" s="2" t="s">
        <v>10253</v>
      </c>
      <c r="B5418" s="3" t="s">
        <v>10254</v>
      </c>
      <c r="C5418" s="2"/>
      <c r="D5418" s="2" t="s">
        <v>16</v>
      </c>
      <c r="E5418" s="4">
        <f>99.30*(1-Z1%)</f>
        <v>99.3</v>
      </c>
      <c r="F5418" s="2">
        <v>20</v>
      </c>
      <c r="G5418" s="2"/>
    </row>
    <row r="5419" spans="1:26" customHeight="1" ht="18" hidden="true" outlineLevel="4">
      <c r="A5419" s="2" t="s">
        <v>10255</v>
      </c>
      <c r="B5419" s="3" t="s">
        <v>10256</v>
      </c>
      <c r="C5419" s="2"/>
      <c r="D5419" s="2" t="s">
        <v>16</v>
      </c>
      <c r="E5419" s="4">
        <f>99.30*(1-Z1%)</f>
        <v>99.3</v>
      </c>
      <c r="F5419" s="2">
        <v>30</v>
      </c>
      <c r="G5419" s="2"/>
    </row>
    <row r="5420" spans="1:26" customHeight="1" ht="18" hidden="true" outlineLevel="4">
      <c r="A5420" s="2" t="s">
        <v>10257</v>
      </c>
      <c r="B5420" s="3" t="s">
        <v>10258</v>
      </c>
      <c r="C5420" s="2"/>
      <c r="D5420" s="2" t="s">
        <v>16</v>
      </c>
      <c r="E5420" s="4">
        <f>99.30*(1-Z1%)</f>
        <v>99.3</v>
      </c>
      <c r="F5420" s="2">
        <v>25</v>
      </c>
      <c r="G5420" s="2"/>
    </row>
    <row r="5421" spans="1:26" customHeight="1" ht="36" hidden="true" outlineLevel="4">
      <c r="A5421" s="2" t="s">
        <v>10259</v>
      </c>
      <c r="B5421" s="3" t="s">
        <v>10260</v>
      </c>
      <c r="C5421" s="2"/>
      <c r="D5421" s="2" t="s">
        <v>16</v>
      </c>
      <c r="E5421" s="4">
        <f>99.30*(1-Z1%)</f>
        <v>99.3</v>
      </c>
      <c r="F5421" s="2">
        <v>40</v>
      </c>
      <c r="G5421" s="2"/>
    </row>
    <row r="5422" spans="1:26" customHeight="1" ht="36" hidden="true" outlineLevel="4">
      <c r="A5422" s="2" t="s">
        <v>10261</v>
      </c>
      <c r="B5422" s="3" t="s">
        <v>10262</v>
      </c>
      <c r="C5422" s="2"/>
      <c r="D5422" s="2" t="s">
        <v>16</v>
      </c>
      <c r="E5422" s="4">
        <f>81.16*(1-Z1%)</f>
        <v>81.16</v>
      </c>
      <c r="F5422" s="2">
        <v>9</v>
      </c>
      <c r="G5422" s="2"/>
    </row>
    <row r="5423" spans="1:26" customHeight="1" ht="36" hidden="true" outlineLevel="4">
      <c r="A5423" s="2" t="s">
        <v>10263</v>
      </c>
      <c r="B5423" s="3" t="s">
        <v>10264</v>
      </c>
      <c r="C5423" s="2"/>
      <c r="D5423" s="2" t="s">
        <v>16</v>
      </c>
      <c r="E5423" s="4">
        <f>111.27*(1-Z1%)</f>
        <v>111.27</v>
      </c>
      <c r="F5423" s="2">
        <v>7</v>
      </c>
      <c r="G5423" s="2"/>
    </row>
    <row r="5424" spans="1:26" customHeight="1" ht="18" hidden="true" outlineLevel="4">
      <c r="A5424" s="2" t="s">
        <v>10265</v>
      </c>
      <c r="B5424" s="3" t="s">
        <v>10266</v>
      </c>
      <c r="C5424" s="2"/>
      <c r="D5424" s="2" t="s">
        <v>16</v>
      </c>
      <c r="E5424" s="4">
        <f>63.41*(1-Z1%)</f>
        <v>63.41</v>
      </c>
      <c r="F5424" s="2">
        <v>10</v>
      </c>
      <c r="G5424" s="2"/>
    </row>
    <row r="5425" spans="1:26" customHeight="1" ht="18" hidden="true" outlineLevel="4">
      <c r="A5425" s="2" t="s">
        <v>10267</v>
      </c>
      <c r="B5425" s="3" t="s">
        <v>10268</v>
      </c>
      <c r="C5425" s="2"/>
      <c r="D5425" s="2" t="s">
        <v>16</v>
      </c>
      <c r="E5425" s="4">
        <f>63.41*(1-Z1%)</f>
        <v>63.41</v>
      </c>
      <c r="F5425" s="2">
        <v>10</v>
      </c>
      <c r="G5425" s="2"/>
    </row>
    <row r="5426" spans="1:26" customHeight="1" ht="18" hidden="true" outlineLevel="4">
      <c r="A5426" s="2" t="s">
        <v>10269</v>
      </c>
      <c r="B5426" s="3" t="s">
        <v>10270</v>
      </c>
      <c r="C5426" s="2"/>
      <c r="D5426" s="2" t="s">
        <v>16</v>
      </c>
      <c r="E5426" s="4">
        <f>54.21*(1-Z1%)</f>
        <v>54.21</v>
      </c>
      <c r="F5426" s="2">
        <v>20</v>
      </c>
      <c r="G5426" s="2"/>
    </row>
    <row r="5427" spans="1:26" customHeight="1" ht="18" hidden="true" outlineLevel="4">
      <c r="A5427" s="2" t="s">
        <v>10271</v>
      </c>
      <c r="B5427" s="3" t="s">
        <v>10272</v>
      </c>
      <c r="C5427" s="2"/>
      <c r="D5427" s="2" t="s">
        <v>16</v>
      </c>
      <c r="E5427" s="4">
        <f>63.41*(1-Z1%)</f>
        <v>63.41</v>
      </c>
      <c r="F5427" s="2">
        <v>30</v>
      </c>
      <c r="G5427" s="2"/>
    </row>
    <row r="5428" spans="1:26" customHeight="1" ht="18" hidden="true" outlineLevel="4">
      <c r="A5428" s="2" t="s">
        <v>10273</v>
      </c>
      <c r="B5428" s="3" t="s">
        <v>10274</v>
      </c>
      <c r="C5428" s="2"/>
      <c r="D5428" s="2" t="s">
        <v>16</v>
      </c>
      <c r="E5428" s="4">
        <f>58.09*(1-Z1%)</f>
        <v>58.09</v>
      </c>
      <c r="F5428" s="2">
        <v>10</v>
      </c>
      <c r="G5428" s="2"/>
    </row>
    <row r="5429" spans="1:26" customHeight="1" ht="18" hidden="true" outlineLevel="4">
      <c r="A5429" s="2" t="s">
        <v>10275</v>
      </c>
      <c r="B5429" s="3" t="s">
        <v>10276</v>
      </c>
      <c r="C5429" s="2"/>
      <c r="D5429" s="2" t="s">
        <v>16</v>
      </c>
      <c r="E5429" s="4">
        <f>61.52*(1-Z1%)</f>
        <v>61.52</v>
      </c>
      <c r="F5429" s="2">
        <v>6</v>
      </c>
      <c r="G5429" s="2"/>
    </row>
    <row r="5430" spans="1:26" customHeight="1" ht="18" hidden="true" outlineLevel="4">
      <c r="A5430" s="2" t="s">
        <v>10277</v>
      </c>
      <c r="B5430" s="3" t="s">
        <v>10278</v>
      </c>
      <c r="C5430" s="2"/>
      <c r="D5430" s="2" t="s">
        <v>16</v>
      </c>
      <c r="E5430" s="4">
        <f>42.13*(1-Z1%)</f>
        <v>42.13</v>
      </c>
      <c r="F5430" s="2">
        <v>16</v>
      </c>
      <c r="G5430" s="2"/>
    </row>
    <row r="5431" spans="1:26" customHeight="1" ht="18" hidden="true" outlineLevel="4">
      <c r="A5431" s="2" t="s">
        <v>10279</v>
      </c>
      <c r="B5431" s="3" t="s">
        <v>10280</v>
      </c>
      <c r="C5431" s="2"/>
      <c r="D5431" s="2" t="s">
        <v>16</v>
      </c>
      <c r="E5431" s="4">
        <f>71.01*(1-Z1%)</f>
        <v>71.01</v>
      </c>
      <c r="F5431" s="2">
        <v>10</v>
      </c>
      <c r="G5431" s="2"/>
    </row>
    <row r="5432" spans="1:26" customHeight="1" ht="18" hidden="true" outlineLevel="4">
      <c r="A5432" s="2" t="s">
        <v>10281</v>
      </c>
      <c r="B5432" s="3" t="s">
        <v>10282</v>
      </c>
      <c r="C5432" s="2"/>
      <c r="D5432" s="2" t="s">
        <v>16</v>
      </c>
      <c r="E5432" s="4">
        <f>71.01*(1-Z1%)</f>
        <v>71.01</v>
      </c>
      <c r="F5432" s="2">
        <v>20</v>
      </c>
      <c r="G5432" s="2"/>
    </row>
    <row r="5433" spans="1:26" customHeight="1" ht="18" hidden="true" outlineLevel="4">
      <c r="A5433" s="2" t="s">
        <v>10283</v>
      </c>
      <c r="B5433" s="3" t="s">
        <v>10284</v>
      </c>
      <c r="C5433" s="2"/>
      <c r="D5433" s="2" t="s">
        <v>16</v>
      </c>
      <c r="E5433" s="4">
        <f>71.82*(1-Z1%)</f>
        <v>71.82</v>
      </c>
      <c r="F5433" s="2">
        <v>10</v>
      </c>
      <c r="G5433" s="2"/>
    </row>
    <row r="5434" spans="1:26" customHeight="1" ht="18" hidden="true" outlineLevel="4">
      <c r="A5434" s="2" t="s">
        <v>10285</v>
      </c>
      <c r="B5434" s="3" t="s">
        <v>10286</v>
      </c>
      <c r="C5434" s="2"/>
      <c r="D5434" s="2" t="s">
        <v>16</v>
      </c>
      <c r="E5434" s="4">
        <f>69.73*(1-Z1%)</f>
        <v>69.73</v>
      </c>
      <c r="F5434" s="2">
        <v>7</v>
      </c>
      <c r="G5434" s="2"/>
    </row>
    <row r="5435" spans="1:26" customHeight="1" ht="18" hidden="true" outlineLevel="4">
      <c r="A5435" s="2" t="s">
        <v>10287</v>
      </c>
      <c r="B5435" s="3" t="s">
        <v>10288</v>
      </c>
      <c r="C5435" s="2"/>
      <c r="D5435" s="2" t="s">
        <v>16</v>
      </c>
      <c r="E5435" s="4">
        <f>73.22*(1-Z1%)</f>
        <v>73.22</v>
      </c>
      <c r="F5435" s="2">
        <v>30</v>
      </c>
      <c r="G5435" s="2"/>
    </row>
    <row r="5436" spans="1:26" customHeight="1" ht="18" hidden="true" outlineLevel="4">
      <c r="A5436" s="2" t="s">
        <v>10289</v>
      </c>
      <c r="B5436" s="3" t="s">
        <v>10290</v>
      </c>
      <c r="C5436" s="2"/>
      <c r="D5436" s="2" t="s">
        <v>16</v>
      </c>
      <c r="E5436" s="4">
        <f>89.01*(1-Z1%)</f>
        <v>89.01</v>
      </c>
      <c r="F5436" s="2">
        <v>10</v>
      </c>
      <c r="G5436" s="2"/>
    </row>
    <row r="5437" spans="1:26" customHeight="1" ht="18" hidden="true" outlineLevel="4">
      <c r="A5437" s="2" t="s">
        <v>10291</v>
      </c>
      <c r="B5437" s="3" t="s">
        <v>10292</v>
      </c>
      <c r="C5437" s="2"/>
      <c r="D5437" s="2" t="s">
        <v>16</v>
      </c>
      <c r="E5437" s="4">
        <f>60.67*(1-Z1%)</f>
        <v>60.67</v>
      </c>
      <c r="F5437" s="2">
        <v>10</v>
      </c>
      <c r="G5437" s="2"/>
    </row>
    <row r="5438" spans="1:26" customHeight="1" ht="18" hidden="true" outlineLevel="4">
      <c r="A5438" s="2" t="s">
        <v>10293</v>
      </c>
      <c r="B5438" s="3" t="s">
        <v>10294</v>
      </c>
      <c r="C5438" s="2"/>
      <c r="D5438" s="2" t="s">
        <v>16</v>
      </c>
      <c r="E5438" s="4">
        <f>76.21*(1-Z1%)</f>
        <v>76.21</v>
      </c>
      <c r="F5438" s="2">
        <v>10</v>
      </c>
      <c r="G5438" s="2"/>
    </row>
    <row r="5439" spans="1:26" customHeight="1" ht="18" hidden="true" outlineLevel="4">
      <c r="A5439" s="2" t="s">
        <v>10295</v>
      </c>
      <c r="B5439" s="3" t="s">
        <v>10296</v>
      </c>
      <c r="C5439" s="2"/>
      <c r="D5439" s="2" t="s">
        <v>16</v>
      </c>
      <c r="E5439" s="4">
        <f>76.21*(1-Z1%)</f>
        <v>76.21</v>
      </c>
      <c r="F5439" s="2">
        <v>20</v>
      </c>
      <c r="G5439" s="2"/>
    </row>
    <row r="5440" spans="1:26" customHeight="1" ht="18" hidden="true" outlineLevel="4">
      <c r="A5440" s="2" t="s">
        <v>10297</v>
      </c>
      <c r="B5440" s="3" t="s">
        <v>10298</v>
      </c>
      <c r="C5440" s="2"/>
      <c r="D5440" s="2" t="s">
        <v>16</v>
      </c>
      <c r="E5440" s="4">
        <f>99.30*(1-Z1%)</f>
        <v>99.3</v>
      </c>
      <c r="F5440" s="2">
        <v>10</v>
      </c>
      <c r="G5440" s="2"/>
    </row>
    <row r="5441" spans="1:26" customHeight="1" ht="18" hidden="true" outlineLevel="4">
      <c r="A5441" s="2" t="s">
        <v>10299</v>
      </c>
      <c r="B5441" s="3" t="s">
        <v>10300</v>
      </c>
      <c r="C5441" s="2"/>
      <c r="D5441" s="2" t="s">
        <v>16</v>
      </c>
      <c r="E5441" s="4">
        <f>99.30*(1-Z1%)</f>
        <v>99.3</v>
      </c>
      <c r="F5441" s="2">
        <v>14</v>
      </c>
      <c r="G5441" s="2"/>
    </row>
    <row r="5442" spans="1:26" customHeight="1" ht="18" hidden="true" outlineLevel="4">
      <c r="A5442" s="2" t="s">
        <v>10301</v>
      </c>
      <c r="B5442" s="3" t="s">
        <v>10302</v>
      </c>
      <c r="C5442" s="2"/>
      <c r="D5442" s="2" t="s">
        <v>16</v>
      </c>
      <c r="E5442" s="4">
        <f>99.30*(1-Z1%)</f>
        <v>99.3</v>
      </c>
      <c r="F5442" s="2">
        <v>10</v>
      </c>
      <c r="G5442" s="2"/>
    </row>
    <row r="5443" spans="1:26" customHeight="1" ht="36" hidden="true" outlineLevel="4">
      <c r="A5443" s="2" t="s">
        <v>10303</v>
      </c>
      <c r="B5443" s="3" t="s">
        <v>10304</v>
      </c>
      <c r="C5443" s="2"/>
      <c r="D5443" s="2" t="s">
        <v>16</v>
      </c>
      <c r="E5443" s="4">
        <f>61.17*(1-Z1%)</f>
        <v>61.17</v>
      </c>
      <c r="F5443" s="2">
        <v>10</v>
      </c>
      <c r="G5443" s="2"/>
    </row>
    <row r="5444" spans="1:26" customHeight="1" ht="35" hidden="true" outlineLevel="4">
      <c r="A5444" s="5" t="s">
        <v>10305</v>
      </c>
      <c r="B5444" s="5"/>
      <c r="C5444" s="5"/>
      <c r="D5444" s="5"/>
      <c r="E5444" s="5"/>
      <c r="F5444" s="5"/>
      <c r="G5444" s="5"/>
    </row>
    <row r="5445" spans="1:26" customHeight="1" ht="18" hidden="true" outlineLevel="4">
      <c r="A5445" s="2" t="s">
        <v>10306</v>
      </c>
      <c r="B5445" s="3" t="s">
        <v>10307</v>
      </c>
      <c r="C5445" s="2"/>
      <c r="D5445" s="2" t="s">
        <v>16</v>
      </c>
      <c r="E5445" s="4">
        <f>65.28*(1-Z1%)</f>
        <v>65.28</v>
      </c>
      <c r="F5445" s="2">
        <v>20</v>
      </c>
      <c r="G5445" s="2"/>
    </row>
    <row r="5446" spans="1:26" customHeight="1" ht="18" hidden="true" outlineLevel="4">
      <c r="A5446" s="2" t="s">
        <v>10308</v>
      </c>
      <c r="B5446" s="3" t="s">
        <v>10309</v>
      </c>
      <c r="C5446" s="2"/>
      <c r="D5446" s="2" t="s">
        <v>16</v>
      </c>
      <c r="E5446" s="4">
        <f>65.28*(1-Z1%)</f>
        <v>65.28</v>
      </c>
      <c r="F5446" s="2">
        <v>10</v>
      </c>
      <c r="G5446" s="2"/>
    </row>
    <row r="5447" spans="1:26" customHeight="1" ht="18" hidden="true" outlineLevel="4">
      <c r="A5447" s="2" t="s">
        <v>10310</v>
      </c>
      <c r="B5447" s="3" t="s">
        <v>10311</v>
      </c>
      <c r="C5447" s="2"/>
      <c r="D5447" s="2" t="s">
        <v>16</v>
      </c>
      <c r="E5447" s="4">
        <f>65.28*(1-Z1%)</f>
        <v>65.28</v>
      </c>
      <c r="F5447" s="2">
        <v>10</v>
      </c>
      <c r="G5447" s="2"/>
    </row>
    <row r="5448" spans="1:26" customHeight="1" ht="18" hidden="true" outlineLevel="4">
      <c r="A5448" s="2" t="s">
        <v>10312</v>
      </c>
      <c r="B5448" s="3" t="s">
        <v>10313</v>
      </c>
      <c r="C5448" s="2"/>
      <c r="D5448" s="2" t="s">
        <v>16</v>
      </c>
      <c r="E5448" s="4">
        <f>67.91*(1-Z1%)</f>
        <v>67.91</v>
      </c>
      <c r="F5448" s="2">
        <v>10</v>
      </c>
      <c r="G5448" s="2"/>
    </row>
    <row r="5449" spans="1:26" customHeight="1" ht="18" hidden="true" outlineLevel="4">
      <c r="A5449" s="2" t="s">
        <v>10314</v>
      </c>
      <c r="B5449" s="3" t="s">
        <v>10315</v>
      </c>
      <c r="C5449" s="2"/>
      <c r="D5449" s="2" t="s">
        <v>16</v>
      </c>
      <c r="E5449" s="4">
        <f>70.88*(1-Z1%)</f>
        <v>70.88</v>
      </c>
      <c r="F5449" s="2">
        <v>20</v>
      </c>
      <c r="G5449" s="2"/>
    </row>
    <row r="5450" spans="1:26" customHeight="1" ht="18" hidden="true" outlineLevel="4">
      <c r="A5450" s="2" t="s">
        <v>10316</v>
      </c>
      <c r="B5450" s="3" t="s">
        <v>10317</v>
      </c>
      <c r="C5450" s="2"/>
      <c r="D5450" s="2" t="s">
        <v>16</v>
      </c>
      <c r="E5450" s="4">
        <f>67.91*(1-Z1%)</f>
        <v>67.91</v>
      </c>
      <c r="F5450" s="2">
        <v>20</v>
      </c>
      <c r="G5450" s="2"/>
    </row>
    <row r="5451" spans="1:26" customHeight="1" ht="18" hidden="true" outlineLevel="4">
      <c r="A5451" s="2" t="s">
        <v>10318</v>
      </c>
      <c r="B5451" s="3" t="s">
        <v>10319</v>
      </c>
      <c r="C5451" s="2"/>
      <c r="D5451" s="2" t="s">
        <v>16</v>
      </c>
      <c r="E5451" s="4">
        <f>66.50*(1-Z1%)</f>
        <v>66.5</v>
      </c>
      <c r="F5451" s="2">
        <v>5</v>
      </c>
      <c r="G5451" s="2"/>
    </row>
    <row r="5452" spans="1:26" customHeight="1" ht="18" hidden="true" outlineLevel="4">
      <c r="A5452" s="2" t="s">
        <v>10320</v>
      </c>
      <c r="B5452" s="3" t="s">
        <v>10321</v>
      </c>
      <c r="C5452" s="2"/>
      <c r="D5452" s="2" t="s">
        <v>16</v>
      </c>
      <c r="E5452" s="4">
        <f>48.34*(1-Z1%)</f>
        <v>48.34</v>
      </c>
      <c r="F5452" s="2">
        <v>1</v>
      </c>
      <c r="G5452" s="2"/>
    </row>
    <row r="5453" spans="1:26" customHeight="1" ht="18" hidden="true" outlineLevel="4">
      <c r="A5453" s="2" t="s">
        <v>10322</v>
      </c>
      <c r="B5453" s="3" t="s">
        <v>10323</v>
      </c>
      <c r="C5453" s="2"/>
      <c r="D5453" s="2" t="s">
        <v>16</v>
      </c>
      <c r="E5453" s="4">
        <f>67.80*(1-Z1%)</f>
        <v>67.8</v>
      </c>
      <c r="F5453" s="2">
        <v>20</v>
      </c>
      <c r="G5453" s="2"/>
    </row>
    <row r="5454" spans="1:26" customHeight="1" ht="18" hidden="true" outlineLevel="4">
      <c r="A5454" s="2" t="s">
        <v>10324</v>
      </c>
      <c r="B5454" s="3" t="s">
        <v>10325</v>
      </c>
      <c r="C5454" s="2"/>
      <c r="D5454" s="2" t="s">
        <v>16</v>
      </c>
      <c r="E5454" s="4">
        <f>67.80*(1-Z1%)</f>
        <v>67.8</v>
      </c>
      <c r="F5454" s="2">
        <v>15</v>
      </c>
      <c r="G5454" s="2"/>
    </row>
    <row r="5455" spans="1:26" customHeight="1" ht="18" hidden="true" outlineLevel="4">
      <c r="A5455" s="2" t="s">
        <v>10326</v>
      </c>
      <c r="B5455" s="3" t="s">
        <v>10327</v>
      </c>
      <c r="C5455" s="2"/>
      <c r="D5455" s="2" t="s">
        <v>16</v>
      </c>
      <c r="E5455" s="4">
        <f>80.80*(1-Z1%)</f>
        <v>80.8</v>
      </c>
      <c r="F5455" s="2">
        <v>20</v>
      </c>
      <c r="G5455" s="2"/>
    </row>
    <row r="5456" spans="1:26" customHeight="1" ht="18" hidden="true" outlineLevel="4">
      <c r="A5456" s="2" t="s">
        <v>10328</v>
      </c>
      <c r="B5456" s="3" t="s">
        <v>10329</v>
      </c>
      <c r="C5456" s="2"/>
      <c r="D5456" s="2" t="s">
        <v>16</v>
      </c>
      <c r="E5456" s="4">
        <f>80.80*(1-Z1%)</f>
        <v>80.8</v>
      </c>
      <c r="F5456" s="2">
        <v>20</v>
      </c>
      <c r="G5456" s="2"/>
    </row>
    <row r="5457" spans="1:26" customHeight="1" ht="18" hidden="true" outlineLevel="4">
      <c r="A5457" s="2" t="s">
        <v>10330</v>
      </c>
      <c r="B5457" s="3" t="s">
        <v>10331</v>
      </c>
      <c r="C5457" s="2"/>
      <c r="D5457" s="2" t="s">
        <v>16</v>
      </c>
      <c r="E5457" s="4">
        <f>80.80*(1-Z1%)</f>
        <v>80.8</v>
      </c>
      <c r="F5457" s="2">
        <v>20</v>
      </c>
      <c r="G5457" s="2"/>
    </row>
    <row r="5458" spans="1:26" customHeight="1" ht="18" hidden="true" outlineLevel="4">
      <c r="A5458" s="2" t="s">
        <v>10332</v>
      </c>
      <c r="B5458" s="3" t="s">
        <v>10333</v>
      </c>
      <c r="C5458" s="2"/>
      <c r="D5458" s="2" t="s">
        <v>16</v>
      </c>
      <c r="E5458" s="4">
        <f>86.81*(1-Z1%)</f>
        <v>86.81</v>
      </c>
      <c r="F5458" s="2">
        <v>20</v>
      </c>
      <c r="G5458" s="2"/>
    </row>
    <row r="5459" spans="1:26" customHeight="1" ht="18" hidden="true" outlineLevel="4">
      <c r="A5459" s="2" t="s">
        <v>10334</v>
      </c>
      <c r="B5459" s="3" t="s">
        <v>10335</v>
      </c>
      <c r="C5459" s="2"/>
      <c r="D5459" s="2" t="s">
        <v>16</v>
      </c>
      <c r="E5459" s="4">
        <f>73.22*(1-Z1%)</f>
        <v>73.22</v>
      </c>
      <c r="F5459" s="2">
        <v>15</v>
      </c>
      <c r="G5459" s="2"/>
    </row>
    <row r="5460" spans="1:26" customHeight="1" ht="18" hidden="true" outlineLevel="4">
      <c r="A5460" s="2" t="s">
        <v>10336</v>
      </c>
      <c r="B5460" s="3" t="s">
        <v>10337</v>
      </c>
      <c r="C5460" s="2"/>
      <c r="D5460" s="2" t="s">
        <v>16</v>
      </c>
      <c r="E5460" s="4">
        <f>88.51*(1-Z1%)</f>
        <v>88.51</v>
      </c>
      <c r="F5460" s="2">
        <v>10</v>
      </c>
      <c r="G5460" s="2"/>
    </row>
    <row r="5461" spans="1:26" customHeight="1" ht="18" hidden="true" outlineLevel="4">
      <c r="A5461" s="2" t="s">
        <v>10338</v>
      </c>
      <c r="B5461" s="3" t="s">
        <v>10339</v>
      </c>
      <c r="C5461" s="2"/>
      <c r="D5461" s="2" t="s">
        <v>16</v>
      </c>
      <c r="E5461" s="4">
        <f>88.51*(1-Z1%)</f>
        <v>88.51</v>
      </c>
      <c r="F5461" s="2">
        <v>10</v>
      </c>
      <c r="G5461" s="2"/>
    </row>
    <row r="5462" spans="1:26" customHeight="1" ht="18" hidden="true" outlineLevel="4">
      <c r="A5462" s="2" t="s">
        <v>10340</v>
      </c>
      <c r="B5462" s="3" t="s">
        <v>10341</v>
      </c>
      <c r="C5462" s="2"/>
      <c r="D5462" s="2" t="s">
        <v>16</v>
      </c>
      <c r="E5462" s="4">
        <f>85.79*(1-Z1%)</f>
        <v>85.79</v>
      </c>
      <c r="F5462" s="2">
        <v>40</v>
      </c>
      <c r="G5462" s="2"/>
    </row>
    <row r="5463" spans="1:26" customHeight="1" ht="18" hidden="true" outlineLevel="4">
      <c r="A5463" s="2" t="s">
        <v>10342</v>
      </c>
      <c r="B5463" s="3" t="s">
        <v>10343</v>
      </c>
      <c r="C5463" s="2"/>
      <c r="D5463" s="2" t="s">
        <v>16</v>
      </c>
      <c r="E5463" s="4">
        <f>95.62*(1-Z1%)</f>
        <v>95.62</v>
      </c>
      <c r="F5463" s="2">
        <v>4</v>
      </c>
      <c r="G5463" s="2"/>
    </row>
    <row r="5464" spans="1:26" customHeight="1" ht="18" hidden="true" outlineLevel="4">
      <c r="A5464" s="2" t="s">
        <v>10344</v>
      </c>
      <c r="B5464" s="3" t="s">
        <v>10345</v>
      </c>
      <c r="C5464" s="2"/>
      <c r="D5464" s="2" t="s">
        <v>16</v>
      </c>
      <c r="E5464" s="4">
        <f>84.10*(1-Z1%)</f>
        <v>84.1</v>
      </c>
      <c r="F5464" s="2">
        <v>20</v>
      </c>
      <c r="G5464" s="2"/>
    </row>
    <row r="5465" spans="1:26" customHeight="1" ht="18" hidden="true" outlineLevel="4">
      <c r="A5465" s="2" t="s">
        <v>10346</v>
      </c>
      <c r="B5465" s="3" t="s">
        <v>10347</v>
      </c>
      <c r="C5465" s="2"/>
      <c r="D5465" s="2" t="s">
        <v>16</v>
      </c>
      <c r="E5465" s="4">
        <f>111.14*(1-Z1%)</f>
        <v>111.14</v>
      </c>
      <c r="F5465" s="2">
        <v>10</v>
      </c>
      <c r="G5465" s="2"/>
    </row>
    <row r="5466" spans="1:26" customHeight="1" ht="18" hidden="true" outlineLevel="4">
      <c r="A5466" s="2" t="s">
        <v>10348</v>
      </c>
      <c r="B5466" s="3" t="s">
        <v>10349</v>
      </c>
      <c r="C5466" s="2"/>
      <c r="D5466" s="2" t="s">
        <v>16</v>
      </c>
      <c r="E5466" s="4">
        <f>116.69*(1-Z1%)</f>
        <v>116.69</v>
      </c>
      <c r="F5466" s="2">
        <v>20</v>
      </c>
      <c r="G5466" s="2"/>
    </row>
    <row r="5467" spans="1:26" customHeight="1" ht="18" hidden="true" outlineLevel="4">
      <c r="A5467" s="2" t="s">
        <v>10350</v>
      </c>
      <c r="B5467" s="3" t="s">
        <v>10351</v>
      </c>
      <c r="C5467" s="2"/>
      <c r="D5467" s="2" t="s">
        <v>16</v>
      </c>
      <c r="E5467" s="4">
        <f>149.30*(1-Z1%)</f>
        <v>149.3</v>
      </c>
      <c r="F5467" s="2">
        <v>30</v>
      </c>
      <c r="G5467" s="2"/>
    </row>
    <row r="5468" spans="1:26" customHeight="1" ht="18" hidden="true" outlineLevel="4">
      <c r="A5468" s="2" t="s">
        <v>10352</v>
      </c>
      <c r="B5468" s="3" t="s">
        <v>10353</v>
      </c>
      <c r="C5468" s="2"/>
      <c r="D5468" s="2" t="s">
        <v>16</v>
      </c>
      <c r="E5468" s="4">
        <f>149.30*(1-Z1%)</f>
        <v>149.3</v>
      </c>
      <c r="F5468" s="2">
        <v>30</v>
      </c>
      <c r="G5468" s="2"/>
    </row>
    <row r="5469" spans="1:26" customHeight="1" ht="18" hidden="true" outlineLevel="4">
      <c r="A5469" s="2" t="s">
        <v>10354</v>
      </c>
      <c r="B5469" s="3" t="s">
        <v>10355</v>
      </c>
      <c r="C5469" s="2"/>
      <c r="D5469" s="2" t="s">
        <v>16</v>
      </c>
      <c r="E5469" s="4">
        <f>115.33*(1-Z1%)</f>
        <v>115.33</v>
      </c>
      <c r="F5469" s="2">
        <v>10</v>
      </c>
      <c r="G5469" s="2"/>
    </row>
    <row r="5470" spans="1:26" customHeight="1" ht="18" hidden="true" outlineLevel="4">
      <c r="A5470" s="2" t="s">
        <v>10356</v>
      </c>
      <c r="B5470" s="3" t="s">
        <v>10357</v>
      </c>
      <c r="C5470" s="2"/>
      <c r="D5470" s="2" t="s">
        <v>16</v>
      </c>
      <c r="E5470" s="4">
        <f>115.33*(1-Z1%)</f>
        <v>115.33</v>
      </c>
      <c r="F5470" s="2">
        <v>20</v>
      </c>
      <c r="G5470" s="2"/>
    </row>
    <row r="5471" spans="1:26" customHeight="1" ht="18" hidden="true" outlineLevel="4">
      <c r="A5471" s="2" t="s">
        <v>10358</v>
      </c>
      <c r="B5471" s="3" t="s">
        <v>10359</v>
      </c>
      <c r="C5471" s="2"/>
      <c r="D5471" s="2" t="s">
        <v>16</v>
      </c>
      <c r="E5471" s="4">
        <f>115.33*(1-Z1%)</f>
        <v>115.33</v>
      </c>
      <c r="F5471" s="2">
        <v>10</v>
      </c>
      <c r="G5471" s="2"/>
    </row>
    <row r="5472" spans="1:26" customHeight="1" ht="18" hidden="true" outlineLevel="4">
      <c r="A5472" s="2" t="s">
        <v>10360</v>
      </c>
      <c r="B5472" s="3" t="s">
        <v>10361</v>
      </c>
      <c r="C5472" s="2"/>
      <c r="D5472" s="2" t="s">
        <v>16</v>
      </c>
      <c r="E5472" s="4">
        <f>89.38*(1-Z1%)</f>
        <v>89.38</v>
      </c>
      <c r="F5472" s="2">
        <v>20</v>
      </c>
      <c r="G5472" s="2"/>
    </row>
    <row r="5473" spans="1:26" customHeight="1" ht="18" hidden="true" outlineLevel="4">
      <c r="A5473" s="2" t="s">
        <v>10362</v>
      </c>
      <c r="B5473" s="3" t="s">
        <v>10363</v>
      </c>
      <c r="C5473" s="2"/>
      <c r="D5473" s="2" t="s">
        <v>16</v>
      </c>
      <c r="E5473" s="4">
        <f>151.46*(1-Z1%)</f>
        <v>151.46</v>
      </c>
      <c r="F5473" s="2">
        <v>10</v>
      </c>
      <c r="G5473" s="2"/>
    </row>
    <row r="5474" spans="1:26" customHeight="1" ht="18" hidden="true" outlineLevel="4">
      <c r="A5474" s="2" t="s">
        <v>10364</v>
      </c>
      <c r="B5474" s="3" t="s">
        <v>10365</v>
      </c>
      <c r="C5474" s="2"/>
      <c r="D5474" s="2" t="s">
        <v>16</v>
      </c>
      <c r="E5474" s="4">
        <f>151.46*(1-Z1%)</f>
        <v>151.46</v>
      </c>
      <c r="F5474" s="2">
        <v>10</v>
      </c>
      <c r="G5474" s="2"/>
    </row>
    <row r="5475" spans="1:26" customHeight="1" ht="18" hidden="true" outlineLevel="4">
      <c r="A5475" s="2" t="s">
        <v>10366</v>
      </c>
      <c r="B5475" s="3" t="s">
        <v>10367</v>
      </c>
      <c r="C5475" s="2"/>
      <c r="D5475" s="2" t="s">
        <v>16</v>
      </c>
      <c r="E5475" s="4">
        <f>303.48*(1-Z1%)</f>
        <v>303.48</v>
      </c>
      <c r="F5475" s="2">
        <v>4</v>
      </c>
      <c r="G5475" s="2"/>
    </row>
    <row r="5476" spans="1:26" customHeight="1" ht="18" hidden="true" outlineLevel="4">
      <c r="A5476" s="2" t="s">
        <v>10368</v>
      </c>
      <c r="B5476" s="3" t="s">
        <v>10369</v>
      </c>
      <c r="C5476" s="2"/>
      <c r="D5476" s="2" t="s">
        <v>16</v>
      </c>
      <c r="E5476" s="4">
        <f>303.48*(1-Z1%)</f>
        <v>303.48</v>
      </c>
      <c r="F5476" s="2">
        <v>4</v>
      </c>
      <c r="G5476" s="2"/>
    </row>
    <row r="5477" spans="1:26" customHeight="1" ht="18" hidden="true" outlineLevel="4">
      <c r="A5477" s="2" t="s">
        <v>10370</v>
      </c>
      <c r="B5477" s="3" t="s">
        <v>10371</v>
      </c>
      <c r="C5477" s="2"/>
      <c r="D5477" s="2" t="s">
        <v>16</v>
      </c>
      <c r="E5477" s="4">
        <f>383.80*(1-Z1%)</f>
        <v>383.8</v>
      </c>
      <c r="F5477" s="2">
        <v>4</v>
      </c>
      <c r="G5477" s="2"/>
    </row>
    <row r="5478" spans="1:26" customHeight="1" ht="18" hidden="true" outlineLevel="4">
      <c r="A5478" s="2" t="s">
        <v>10372</v>
      </c>
      <c r="B5478" s="3" t="s">
        <v>10373</v>
      </c>
      <c r="C5478" s="2"/>
      <c r="D5478" s="2" t="s">
        <v>16</v>
      </c>
      <c r="E5478" s="4">
        <f>455.35*(1-Z1%)</f>
        <v>455.35</v>
      </c>
      <c r="F5478" s="2">
        <v>3</v>
      </c>
      <c r="G5478" s="2"/>
    </row>
    <row r="5479" spans="1:26" customHeight="1" ht="18" hidden="true" outlineLevel="4">
      <c r="A5479" s="2" t="s">
        <v>10374</v>
      </c>
      <c r="B5479" s="3" t="s">
        <v>10375</v>
      </c>
      <c r="C5479" s="2"/>
      <c r="D5479" s="2" t="s">
        <v>16</v>
      </c>
      <c r="E5479" s="4">
        <f>721.73*(1-Z1%)</f>
        <v>721.73</v>
      </c>
      <c r="F5479" s="2">
        <v>2</v>
      </c>
      <c r="G5479" s="2"/>
    </row>
    <row r="5480" spans="1:26" customHeight="1" ht="18" hidden="true" outlineLevel="4">
      <c r="A5480" s="2" t="s">
        <v>10376</v>
      </c>
      <c r="B5480" s="3" t="s">
        <v>10377</v>
      </c>
      <c r="C5480" s="2"/>
      <c r="D5480" s="2" t="s">
        <v>16</v>
      </c>
      <c r="E5480" s="4">
        <f>929.88*(1-Z1%)</f>
        <v>929.88</v>
      </c>
      <c r="F5480" s="2">
        <v>2</v>
      </c>
      <c r="G5480" s="2"/>
    </row>
    <row r="5481" spans="1:26" customHeight="1" ht="18" hidden="true" outlineLevel="4">
      <c r="A5481" s="2" t="s">
        <v>10378</v>
      </c>
      <c r="B5481" s="3" t="s">
        <v>10379</v>
      </c>
      <c r="C5481" s="2"/>
      <c r="D5481" s="2" t="s">
        <v>16</v>
      </c>
      <c r="E5481" s="4">
        <f>564.26*(1-Z1%)</f>
        <v>564.26</v>
      </c>
      <c r="F5481" s="2">
        <v>1</v>
      </c>
      <c r="G5481" s="2"/>
    </row>
    <row r="5482" spans="1:26" customHeight="1" ht="18" hidden="true" outlineLevel="4">
      <c r="A5482" s="2" t="s">
        <v>10380</v>
      </c>
      <c r="B5482" s="3" t="s">
        <v>10381</v>
      </c>
      <c r="C5482" s="2"/>
      <c r="D5482" s="2" t="s">
        <v>16</v>
      </c>
      <c r="E5482" s="4">
        <f>1234.08*(1-Z1%)</f>
        <v>1234.08</v>
      </c>
      <c r="F5482" s="2">
        <v>2</v>
      </c>
      <c r="G5482" s="2"/>
    </row>
    <row r="5483" spans="1:26" customHeight="1" ht="36" hidden="true" outlineLevel="4">
      <c r="A5483" s="2" t="s">
        <v>10382</v>
      </c>
      <c r="B5483" s="3" t="s">
        <v>10383</v>
      </c>
      <c r="C5483" s="2"/>
      <c r="D5483" s="2" t="s">
        <v>16</v>
      </c>
      <c r="E5483" s="4">
        <f>124.20*(1-Z1%)</f>
        <v>124.2</v>
      </c>
      <c r="F5483" s="2">
        <v>5</v>
      </c>
      <c r="G5483" s="2"/>
    </row>
    <row r="5484" spans="1:26" customHeight="1" ht="36" hidden="true" outlineLevel="4">
      <c r="A5484" s="2" t="s">
        <v>10384</v>
      </c>
      <c r="B5484" s="3" t="s">
        <v>10385</v>
      </c>
      <c r="C5484" s="2"/>
      <c r="D5484" s="2" t="s">
        <v>16</v>
      </c>
      <c r="E5484" s="4">
        <f>124.20*(1-Z1%)</f>
        <v>124.2</v>
      </c>
      <c r="F5484" s="2">
        <v>20</v>
      </c>
      <c r="G5484" s="2"/>
    </row>
    <row r="5485" spans="1:26" customHeight="1" ht="18" hidden="true" outlineLevel="4">
      <c r="A5485" s="2" t="s">
        <v>10386</v>
      </c>
      <c r="B5485" s="3" t="s">
        <v>10387</v>
      </c>
      <c r="C5485" s="2"/>
      <c r="D5485" s="2" t="s">
        <v>16</v>
      </c>
      <c r="E5485" s="4">
        <f>37.02*(1-Z1%)</f>
        <v>37.02</v>
      </c>
      <c r="F5485" s="2">
        <v>4</v>
      </c>
      <c r="G5485" s="2"/>
    </row>
    <row r="5486" spans="1:26" customHeight="1" ht="18" hidden="true" outlineLevel="4">
      <c r="A5486" s="2" t="s">
        <v>10388</v>
      </c>
      <c r="B5486" s="3" t="s">
        <v>10389</v>
      </c>
      <c r="C5486" s="2"/>
      <c r="D5486" s="2" t="s">
        <v>16</v>
      </c>
      <c r="E5486" s="4">
        <f>63.41*(1-Z1%)</f>
        <v>63.41</v>
      </c>
      <c r="F5486" s="2">
        <v>10</v>
      </c>
      <c r="G5486" s="2"/>
    </row>
    <row r="5487" spans="1:26" customHeight="1" ht="18" hidden="true" outlineLevel="4">
      <c r="A5487" s="2" t="s">
        <v>10390</v>
      </c>
      <c r="B5487" s="3" t="s">
        <v>10391</v>
      </c>
      <c r="C5487" s="2"/>
      <c r="D5487" s="2" t="s">
        <v>16</v>
      </c>
      <c r="E5487" s="4">
        <f>59.99*(1-Z1%)</f>
        <v>59.99</v>
      </c>
      <c r="F5487" s="2">
        <v>5</v>
      </c>
      <c r="G5487" s="2"/>
    </row>
    <row r="5488" spans="1:26" customHeight="1" ht="18" hidden="true" outlineLevel="4">
      <c r="A5488" s="2" t="s">
        <v>10392</v>
      </c>
      <c r="B5488" s="3" t="s">
        <v>10393</v>
      </c>
      <c r="C5488" s="2"/>
      <c r="D5488" s="2" t="s">
        <v>16</v>
      </c>
      <c r="E5488" s="4">
        <f>60.99*(1-Z1%)</f>
        <v>60.99</v>
      </c>
      <c r="F5488" s="2">
        <v>20</v>
      </c>
      <c r="G5488" s="2"/>
    </row>
    <row r="5489" spans="1:26" customHeight="1" ht="18" hidden="true" outlineLevel="4">
      <c r="A5489" s="2" t="s">
        <v>10394</v>
      </c>
      <c r="B5489" s="3" t="s">
        <v>10395</v>
      </c>
      <c r="C5489" s="2"/>
      <c r="D5489" s="2" t="s">
        <v>16</v>
      </c>
      <c r="E5489" s="4">
        <f>63.41*(1-Z1%)</f>
        <v>63.41</v>
      </c>
      <c r="F5489" s="2">
        <v>14</v>
      </c>
      <c r="G5489" s="2"/>
    </row>
    <row r="5490" spans="1:26" customHeight="1" ht="18" hidden="true" outlineLevel="4">
      <c r="A5490" s="2" t="s">
        <v>10396</v>
      </c>
      <c r="B5490" s="3" t="s">
        <v>10397</v>
      </c>
      <c r="C5490" s="2"/>
      <c r="D5490" s="2" t="s">
        <v>16</v>
      </c>
      <c r="E5490" s="4">
        <f>57.88*(1-Z1%)</f>
        <v>57.88</v>
      </c>
      <c r="F5490" s="2">
        <v>10</v>
      </c>
      <c r="G5490" s="2"/>
    </row>
    <row r="5491" spans="1:26" customHeight="1" ht="18" hidden="true" outlineLevel="4">
      <c r="A5491" s="2" t="s">
        <v>10398</v>
      </c>
      <c r="B5491" s="3" t="s">
        <v>10399</v>
      </c>
      <c r="C5491" s="2"/>
      <c r="D5491" s="2" t="s">
        <v>16</v>
      </c>
      <c r="E5491" s="4">
        <f>42.13*(1-Z1%)</f>
        <v>42.13</v>
      </c>
      <c r="F5491" s="2">
        <v>10</v>
      </c>
      <c r="G5491" s="2"/>
    </row>
    <row r="5492" spans="1:26" customHeight="1" ht="18" hidden="true" outlineLevel="4">
      <c r="A5492" s="2" t="s">
        <v>10400</v>
      </c>
      <c r="B5492" s="3" t="s">
        <v>10401</v>
      </c>
      <c r="C5492" s="2"/>
      <c r="D5492" s="2" t="s">
        <v>16</v>
      </c>
      <c r="E5492" s="4">
        <f>71.82*(1-Z1%)</f>
        <v>71.82</v>
      </c>
      <c r="F5492" s="2">
        <v>10</v>
      </c>
      <c r="G5492" s="2"/>
    </row>
    <row r="5493" spans="1:26" customHeight="1" ht="18" hidden="true" outlineLevel="4">
      <c r="A5493" s="2" t="s">
        <v>10402</v>
      </c>
      <c r="B5493" s="3" t="s">
        <v>10403</v>
      </c>
      <c r="C5493" s="2"/>
      <c r="D5493" s="2" t="s">
        <v>16</v>
      </c>
      <c r="E5493" s="4">
        <f>69.73*(1-Z1%)</f>
        <v>69.73</v>
      </c>
      <c r="F5493" s="2">
        <v>13</v>
      </c>
      <c r="G5493" s="2"/>
    </row>
    <row r="5494" spans="1:26" customHeight="1" ht="18" hidden="true" outlineLevel="4">
      <c r="A5494" s="2" t="s">
        <v>10404</v>
      </c>
      <c r="B5494" s="3" t="s">
        <v>10405</v>
      </c>
      <c r="C5494" s="2"/>
      <c r="D5494" s="2" t="s">
        <v>16</v>
      </c>
      <c r="E5494" s="4">
        <f>69.73*(1-Z1%)</f>
        <v>69.73</v>
      </c>
      <c r="F5494" s="2">
        <v>10</v>
      </c>
      <c r="G5494" s="2"/>
    </row>
    <row r="5495" spans="1:26" customHeight="1" ht="18" hidden="true" outlineLevel="4">
      <c r="A5495" s="2" t="s">
        <v>10406</v>
      </c>
      <c r="B5495" s="3" t="s">
        <v>10407</v>
      </c>
      <c r="C5495" s="2"/>
      <c r="D5495" s="2" t="s">
        <v>16</v>
      </c>
      <c r="E5495" s="4">
        <f>52.25*(1-Z1%)</f>
        <v>52.25</v>
      </c>
      <c r="F5495" s="2">
        <v>27</v>
      </c>
      <c r="G5495" s="2"/>
    </row>
    <row r="5496" spans="1:26" customHeight="1" ht="18" hidden="true" outlineLevel="4">
      <c r="A5496" s="2" t="s">
        <v>10408</v>
      </c>
      <c r="B5496" s="3" t="s">
        <v>10409</v>
      </c>
      <c r="C5496" s="2"/>
      <c r="D5496" s="2" t="s">
        <v>16</v>
      </c>
      <c r="E5496" s="4">
        <f>99.30*(1-Z1%)</f>
        <v>99.3</v>
      </c>
      <c r="F5496" s="2">
        <v>10</v>
      </c>
      <c r="G5496" s="2"/>
    </row>
    <row r="5497" spans="1:26" customHeight="1" ht="18" hidden="true" outlineLevel="4">
      <c r="A5497" s="2" t="s">
        <v>10410</v>
      </c>
      <c r="B5497" s="3" t="s">
        <v>10411</v>
      </c>
      <c r="C5497" s="2"/>
      <c r="D5497" s="2" t="s">
        <v>16</v>
      </c>
      <c r="E5497" s="4">
        <f>99.30*(1-Z1%)</f>
        <v>99.3</v>
      </c>
      <c r="F5497" s="2">
        <v>5</v>
      </c>
      <c r="G5497" s="2"/>
    </row>
    <row r="5498" spans="1:26" customHeight="1" ht="18" hidden="true" outlineLevel="4">
      <c r="A5498" s="2" t="s">
        <v>10412</v>
      </c>
      <c r="B5498" s="3" t="s">
        <v>10413</v>
      </c>
      <c r="C5498" s="2"/>
      <c r="D5498" s="2" t="s">
        <v>16</v>
      </c>
      <c r="E5498" s="4">
        <f>99.30*(1-Z1%)</f>
        <v>99.3</v>
      </c>
      <c r="F5498" s="2">
        <v>11</v>
      </c>
      <c r="G5498" s="2"/>
    </row>
    <row r="5499" spans="1:26" customHeight="1" ht="36" hidden="true" outlineLevel="4">
      <c r="A5499" s="2" t="s">
        <v>10414</v>
      </c>
      <c r="B5499" s="3" t="s">
        <v>10415</v>
      </c>
      <c r="C5499" s="2"/>
      <c r="D5499" s="2" t="s">
        <v>16</v>
      </c>
      <c r="E5499" s="4">
        <f>112.82*(1-Z1%)</f>
        <v>112.82</v>
      </c>
      <c r="F5499" s="2">
        <v>20</v>
      </c>
      <c r="G5499" s="2"/>
    </row>
    <row r="5500" spans="1:26" customHeight="1" ht="18" hidden="true" outlineLevel="4">
      <c r="A5500" s="2" t="s">
        <v>10416</v>
      </c>
      <c r="B5500" s="3" t="s">
        <v>10417</v>
      </c>
      <c r="C5500" s="2"/>
      <c r="D5500" s="2" t="s">
        <v>16</v>
      </c>
      <c r="E5500" s="4">
        <f>53.59*(1-Z1%)</f>
        <v>53.59</v>
      </c>
      <c r="F5500" s="2">
        <v>10</v>
      </c>
      <c r="G5500" s="2"/>
    </row>
    <row r="5501" spans="1:26" customHeight="1" ht="18" hidden="true" outlineLevel="4">
      <c r="A5501" s="2" t="s">
        <v>10418</v>
      </c>
      <c r="B5501" s="3" t="s">
        <v>10419</v>
      </c>
      <c r="C5501" s="2"/>
      <c r="D5501" s="2" t="s">
        <v>16</v>
      </c>
      <c r="E5501" s="4">
        <f>53.59*(1-Z1%)</f>
        <v>53.59</v>
      </c>
      <c r="F5501" s="2">
        <v>10</v>
      </c>
      <c r="G5501" s="2"/>
    </row>
    <row r="5502" spans="1:26" customHeight="1" ht="18" hidden="true" outlineLevel="4">
      <c r="A5502" s="2" t="s">
        <v>10420</v>
      </c>
      <c r="B5502" s="3" t="s">
        <v>10421</v>
      </c>
      <c r="C5502" s="2"/>
      <c r="D5502" s="2" t="s">
        <v>16</v>
      </c>
      <c r="E5502" s="4">
        <f>62.86*(1-Z1%)</f>
        <v>62.86</v>
      </c>
      <c r="F5502" s="2">
        <v>20</v>
      </c>
      <c r="G5502" s="2"/>
    </row>
    <row r="5503" spans="1:26" customHeight="1" ht="18" hidden="true" outlineLevel="4">
      <c r="A5503" s="2" t="s">
        <v>10422</v>
      </c>
      <c r="B5503" s="3" t="s">
        <v>10423</v>
      </c>
      <c r="C5503" s="2"/>
      <c r="D5503" s="2" t="s">
        <v>16</v>
      </c>
      <c r="E5503" s="4">
        <f>63.41*(1-Z1%)</f>
        <v>63.41</v>
      </c>
      <c r="F5503" s="2">
        <v>10</v>
      </c>
      <c r="G5503" s="2"/>
    </row>
    <row r="5504" spans="1:26" customHeight="1" ht="18" hidden="true" outlineLevel="4">
      <c r="A5504" s="2" t="s">
        <v>10424</v>
      </c>
      <c r="B5504" s="3" t="s">
        <v>10425</v>
      </c>
      <c r="C5504" s="2"/>
      <c r="D5504" s="2" t="s">
        <v>16</v>
      </c>
      <c r="E5504" s="4">
        <f>60.99*(1-Z1%)</f>
        <v>60.99</v>
      </c>
      <c r="F5504" s="2">
        <v>10</v>
      </c>
      <c r="G5504" s="2"/>
    </row>
    <row r="5505" spans="1:26" customHeight="1" ht="18" hidden="true" outlineLevel="4">
      <c r="A5505" s="2" t="s">
        <v>10426</v>
      </c>
      <c r="B5505" s="3" t="s">
        <v>10427</v>
      </c>
      <c r="C5505" s="2"/>
      <c r="D5505" s="2" t="s">
        <v>16</v>
      </c>
      <c r="E5505" s="4">
        <f>63.41*(1-Z1%)</f>
        <v>63.41</v>
      </c>
      <c r="F5505" s="2">
        <v>20</v>
      </c>
      <c r="G5505" s="2"/>
    </row>
    <row r="5506" spans="1:26" customHeight="1" ht="18" hidden="true" outlineLevel="4">
      <c r="A5506" s="2" t="s">
        <v>10428</v>
      </c>
      <c r="B5506" s="3" t="s">
        <v>10429</v>
      </c>
      <c r="C5506" s="2"/>
      <c r="D5506" s="2" t="s">
        <v>16</v>
      </c>
      <c r="E5506" s="4">
        <f>60.99*(1-Z1%)</f>
        <v>60.99</v>
      </c>
      <c r="F5506" s="2">
        <v>5</v>
      </c>
      <c r="G5506" s="2"/>
    </row>
    <row r="5507" spans="1:26" customHeight="1" ht="18" hidden="true" outlineLevel="4">
      <c r="A5507" s="2" t="s">
        <v>10430</v>
      </c>
      <c r="B5507" s="3" t="s">
        <v>10431</v>
      </c>
      <c r="C5507" s="2"/>
      <c r="D5507" s="2" t="s">
        <v>16</v>
      </c>
      <c r="E5507" s="4">
        <f>71.01*(1-Z1%)</f>
        <v>71.01</v>
      </c>
      <c r="F5507" s="2">
        <v>10</v>
      </c>
      <c r="G5507" s="2"/>
    </row>
    <row r="5508" spans="1:26" customHeight="1" ht="18" hidden="true" outlineLevel="4">
      <c r="A5508" s="2" t="s">
        <v>10432</v>
      </c>
      <c r="B5508" s="3" t="s">
        <v>10433</v>
      </c>
      <c r="C5508" s="2"/>
      <c r="D5508" s="2" t="s">
        <v>16</v>
      </c>
      <c r="E5508" s="4">
        <f>71.01*(1-Z1%)</f>
        <v>71.01</v>
      </c>
      <c r="F5508" s="2">
        <v>20</v>
      </c>
      <c r="G5508" s="2"/>
    </row>
    <row r="5509" spans="1:26" customHeight="1" ht="18" hidden="true" outlineLevel="4">
      <c r="A5509" s="2" t="s">
        <v>10434</v>
      </c>
      <c r="B5509" s="3" t="s">
        <v>10435</v>
      </c>
      <c r="C5509" s="2"/>
      <c r="D5509" s="2" t="s">
        <v>16</v>
      </c>
      <c r="E5509" s="4">
        <f>71.01*(1-Z1%)</f>
        <v>71.01</v>
      </c>
      <c r="F5509" s="2">
        <v>20</v>
      </c>
      <c r="G5509" s="2"/>
    </row>
    <row r="5510" spans="1:26" customHeight="1" ht="18" hidden="true" outlineLevel="4">
      <c r="A5510" s="2" t="s">
        <v>10436</v>
      </c>
      <c r="B5510" s="3" t="s">
        <v>10437</v>
      </c>
      <c r="C5510" s="2"/>
      <c r="D5510" s="2" t="s">
        <v>16</v>
      </c>
      <c r="E5510" s="4">
        <f>67.80*(1-Z1%)</f>
        <v>67.8</v>
      </c>
      <c r="F5510" s="2">
        <v>27</v>
      </c>
      <c r="G5510" s="2"/>
    </row>
    <row r="5511" spans="1:26" customHeight="1" ht="18" hidden="true" outlineLevel="4">
      <c r="A5511" s="2" t="s">
        <v>10438</v>
      </c>
      <c r="B5511" s="3" t="s">
        <v>10439</v>
      </c>
      <c r="C5511" s="2"/>
      <c r="D5511" s="2" t="s">
        <v>16</v>
      </c>
      <c r="E5511" s="4">
        <f>69.73*(1-Z1%)</f>
        <v>69.73</v>
      </c>
      <c r="F5511" s="2">
        <v>10</v>
      </c>
      <c r="G5511" s="2"/>
    </row>
    <row r="5512" spans="1:26" customHeight="1" ht="18" hidden="true" outlineLevel="4">
      <c r="A5512" s="2" t="s">
        <v>10440</v>
      </c>
      <c r="B5512" s="3" t="s">
        <v>10441</v>
      </c>
      <c r="C5512" s="2"/>
      <c r="D5512" s="2" t="s">
        <v>16</v>
      </c>
      <c r="E5512" s="4">
        <f>60.67*(1-Z1%)</f>
        <v>60.67</v>
      </c>
      <c r="F5512" s="2">
        <v>1</v>
      </c>
      <c r="G5512" s="2"/>
    </row>
    <row r="5513" spans="1:26" customHeight="1" ht="18" hidden="true" outlineLevel="4">
      <c r="A5513" s="2" t="s">
        <v>10442</v>
      </c>
      <c r="B5513" s="3" t="s">
        <v>10443</v>
      </c>
      <c r="C5513" s="2"/>
      <c r="D5513" s="2" t="s">
        <v>16</v>
      </c>
      <c r="E5513" s="4">
        <f>99.30*(1-Z1%)</f>
        <v>99.3</v>
      </c>
      <c r="F5513" s="2">
        <v>5</v>
      </c>
      <c r="G5513" s="2"/>
    </row>
    <row r="5514" spans="1:26" customHeight="1" ht="18" hidden="true" outlineLevel="4">
      <c r="A5514" s="2" t="s">
        <v>10444</v>
      </c>
      <c r="B5514" s="3" t="s">
        <v>10445</v>
      </c>
      <c r="C5514" s="2"/>
      <c r="D5514" s="2" t="s">
        <v>16</v>
      </c>
      <c r="E5514" s="4">
        <f>99.30*(1-Z1%)</f>
        <v>99.3</v>
      </c>
      <c r="F5514" s="2">
        <v>20</v>
      </c>
      <c r="G5514" s="2"/>
    </row>
    <row r="5515" spans="1:26" customHeight="1" ht="18" hidden="true" outlineLevel="4">
      <c r="A5515" s="2" t="s">
        <v>10446</v>
      </c>
      <c r="B5515" s="3" t="s">
        <v>10447</v>
      </c>
      <c r="C5515" s="2"/>
      <c r="D5515" s="2" t="s">
        <v>16</v>
      </c>
      <c r="E5515" s="4">
        <f>99.30*(1-Z1%)</f>
        <v>99.3</v>
      </c>
      <c r="F5515" s="2">
        <v>6</v>
      </c>
      <c r="G5515" s="2"/>
    </row>
    <row r="5516" spans="1:26" customHeight="1" ht="35" hidden="true" outlineLevel="4">
      <c r="A5516" s="5" t="s">
        <v>10448</v>
      </c>
      <c r="B5516" s="5"/>
      <c r="C5516" s="5"/>
      <c r="D5516" s="5"/>
      <c r="E5516" s="5"/>
      <c r="F5516" s="5"/>
      <c r="G5516" s="5"/>
    </row>
    <row r="5517" spans="1:26" customHeight="1" ht="18" hidden="true" outlineLevel="4">
      <c r="A5517" s="2" t="s">
        <v>10449</v>
      </c>
      <c r="B5517" s="3" t="s">
        <v>10450</v>
      </c>
      <c r="C5517" s="2"/>
      <c r="D5517" s="2" t="s">
        <v>16</v>
      </c>
      <c r="E5517" s="4">
        <f>120.92*(1-Z1%)</f>
        <v>120.92</v>
      </c>
      <c r="F5517" s="2">
        <v>20</v>
      </c>
      <c r="G5517" s="2"/>
    </row>
    <row r="5518" spans="1:26" customHeight="1" ht="36" hidden="true" outlineLevel="4">
      <c r="A5518" s="2" t="s">
        <v>10451</v>
      </c>
      <c r="B5518" s="3" t="s">
        <v>10452</v>
      </c>
      <c r="C5518" s="2"/>
      <c r="D5518" s="2" t="s">
        <v>16</v>
      </c>
      <c r="E5518" s="4">
        <f>102.41*(1-Z1%)</f>
        <v>102.41</v>
      </c>
      <c r="F5518" s="2">
        <v>24</v>
      </c>
      <c r="G5518" s="2"/>
    </row>
    <row r="5519" spans="1:26" customHeight="1" ht="18" hidden="true" outlineLevel="4">
      <c r="A5519" s="2" t="s">
        <v>10453</v>
      </c>
      <c r="B5519" s="3" t="s">
        <v>10454</v>
      </c>
      <c r="C5519" s="2"/>
      <c r="D5519" s="2" t="s">
        <v>16</v>
      </c>
      <c r="E5519" s="4">
        <f>239.09*(1-Z1%)</f>
        <v>239.09</v>
      </c>
      <c r="F5519" s="2">
        <v>13</v>
      </c>
      <c r="G5519" s="2"/>
    </row>
    <row r="5520" spans="1:26" customHeight="1" ht="18" hidden="true" outlineLevel="4">
      <c r="A5520" s="2" t="s">
        <v>10455</v>
      </c>
      <c r="B5520" s="3" t="s">
        <v>10456</v>
      </c>
      <c r="C5520" s="2"/>
      <c r="D5520" s="2" t="s">
        <v>16</v>
      </c>
      <c r="E5520" s="4">
        <f>150.71*(1-Z1%)</f>
        <v>150.71</v>
      </c>
      <c r="F5520" s="2">
        <v>15</v>
      </c>
      <c r="G5520" s="2"/>
    </row>
    <row r="5521" spans="1:26" customHeight="1" ht="36" hidden="true" outlineLevel="4">
      <c r="A5521" s="2" t="s">
        <v>10457</v>
      </c>
      <c r="B5521" s="3" t="s">
        <v>10458</v>
      </c>
      <c r="C5521" s="2"/>
      <c r="D5521" s="2" t="s">
        <v>16</v>
      </c>
      <c r="E5521" s="4">
        <f>139.37*(1-Z1%)</f>
        <v>139.37</v>
      </c>
      <c r="F5521" s="2">
        <v>24</v>
      </c>
      <c r="G5521" s="2"/>
    </row>
    <row r="5522" spans="1:26" customHeight="1" ht="18" hidden="true" outlineLevel="4">
      <c r="A5522" s="2" t="s">
        <v>10459</v>
      </c>
      <c r="B5522" s="3" t="s">
        <v>10460</v>
      </c>
      <c r="C5522" s="2"/>
      <c r="D5522" s="2" t="s">
        <v>16</v>
      </c>
      <c r="E5522" s="4">
        <f>279.86*(1-Z1%)</f>
        <v>279.86</v>
      </c>
      <c r="F5522" s="2">
        <v>4</v>
      </c>
      <c r="G5522" s="2"/>
    </row>
    <row r="5523" spans="1:26" customHeight="1" ht="35" hidden="true" outlineLevel="4">
      <c r="A5523" s="5" t="s">
        <v>10461</v>
      </c>
      <c r="B5523" s="5"/>
      <c r="C5523" s="5"/>
      <c r="D5523" s="5"/>
      <c r="E5523" s="5"/>
      <c r="F5523" s="5"/>
      <c r="G5523" s="5"/>
    </row>
    <row r="5524" spans="1:26" customHeight="1" ht="18" hidden="true" outlineLevel="4">
      <c r="A5524" s="2" t="s">
        <v>10462</v>
      </c>
      <c r="B5524" s="3" t="s">
        <v>10463</v>
      </c>
      <c r="C5524" s="2"/>
      <c r="D5524" s="2" t="s">
        <v>16</v>
      </c>
      <c r="E5524" s="4">
        <f>79.53*(1-Z1%)</f>
        <v>79.53</v>
      </c>
      <c r="F5524" s="2">
        <v>10</v>
      </c>
      <c r="G5524" s="2"/>
    </row>
    <row r="5525" spans="1:26" customHeight="1" ht="18" hidden="true" outlineLevel="4">
      <c r="A5525" s="2" t="s">
        <v>10464</v>
      </c>
      <c r="B5525" s="3" t="s">
        <v>10465</v>
      </c>
      <c r="C5525" s="2"/>
      <c r="D5525" s="2" t="s">
        <v>16</v>
      </c>
      <c r="E5525" s="4">
        <f>79.53*(1-Z1%)</f>
        <v>79.53</v>
      </c>
      <c r="F5525" s="2">
        <v>10</v>
      </c>
      <c r="G5525" s="2"/>
    </row>
    <row r="5526" spans="1:26" customHeight="1" ht="18" hidden="true" outlineLevel="4">
      <c r="A5526" s="2" t="s">
        <v>10466</v>
      </c>
      <c r="B5526" s="3" t="s">
        <v>10467</v>
      </c>
      <c r="C5526" s="2"/>
      <c r="D5526" s="2" t="s">
        <v>16</v>
      </c>
      <c r="E5526" s="4">
        <f>79.53*(1-Z1%)</f>
        <v>79.53</v>
      </c>
      <c r="F5526" s="2">
        <v>20</v>
      </c>
      <c r="G5526" s="2"/>
    </row>
    <row r="5527" spans="1:26" customHeight="1" ht="18" hidden="true" outlineLevel="4">
      <c r="A5527" s="2" t="s">
        <v>10468</v>
      </c>
      <c r="B5527" s="3" t="s">
        <v>10469</v>
      </c>
      <c r="C5527" s="2"/>
      <c r="D5527" s="2" t="s">
        <v>16</v>
      </c>
      <c r="E5527" s="4">
        <f>90.45*(1-Z1%)</f>
        <v>90.45</v>
      </c>
      <c r="F5527" s="2">
        <v>28</v>
      </c>
      <c r="G5527" s="2"/>
    </row>
    <row r="5528" spans="1:26" customHeight="1" ht="18" hidden="true" outlineLevel="4">
      <c r="A5528" s="2" t="s">
        <v>10470</v>
      </c>
      <c r="B5528" s="3" t="s">
        <v>10471</v>
      </c>
      <c r="C5528" s="2"/>
      <c r="D5528" s="2" t="s">
        <v>16</v>
      </c>
      <c r="E5528" s="4">
        <f>90.45*(1-Z1%)</f>
        <v>90.45</v>
      </c>
      <c r="F5528" s="2">
        <v>20</v>
      </c>
      <c r="G5528" s="2"/>
    </row>
    <row r="5529" spans="1:26" customHeight="1" ht="18" hidden="true" outlineLevel="4">
      <c r="A5529" s="2" t="s">
        <v>10472</v>
      </c>
      <c r="B5529" s="3" t="s">
        <v>10473</v>
      </c>
      <c r="C5529" s="2"/>
      <c r="D5529" s="2" t="s">
        <v>16</v>
      </c>
      <c r="E5529" s="4">
        <f>104.83*(1-Z1%)</f>
        <v>104.83</v>
      </c>
      <c r="F5529" s="2">
        <v>10</v>
      </c>
      <c r="G5529" s="2"/>
    </row>
    <row r="5530" spans="1:26" customHeight="1" ht="18" hidden="true" outlineLevel="4">
      <c r="A5530" s="2" t="s">
        <v>10474</v>
      </c>
      <c r="B5530" s="3" t="s">
        <v>10475</v>
      </c>
      <c r="C5530" s="2"/>
      <c r="D5530" s="2" t="s">
        <v>16</v>
      </c>
      <c r="E5530" s="4">
        <f>104.83*(1-Z1%)</f>
        <v>104.83</v>
      </c>
      <c r="F5530" s="2">
        <v>20</v>
      </c>
      <c r="G5530" s="2"/>
    </row>
    <row r="5531" spans="1:26" customHeight="1" ht="18" hidden="true" outlineLevel="4">
      <c r="A5531" s="2" t="s">
        <v>10476</v>
      </c>
      <c r="B5531" s="3" t="s">
        <v>10477</v>
      </c>
      <c r="C5531" s="2"/>
      <c r="D5531" s="2" t="s">
        <v>16</v>
      </c>
      <c r="E5531" s="4">
        <f>85.26*(1-Z1%)</f>
        <v>85.26</v>
      </c>
      <c r="F5531" s="2">
        <v>20</v>
      </c>
      <c r="G5531" s="2"/>
    </row>
    <row r="5532" spans="1:26" customHeight="1" ht="18" hidden="true" outlineLevel="4">
      <c r="A5532" s="2" t="s">
        <v>10478</v>
      </c>
      <c r="B5532" s="3" t="s">
        <v>10479</v>
      </c>
      <c r="C5532" s="2"/>
      <c r="D5532" s="2" t="s">
        <v>16</v>
      </c>
      <c r="E5532" s="4">
        <f>107.34*(1-Z1%)</f>
        <v>107.34</v>
      </c>
      <c r="F5532" s="2">
        <v>20</v>
      </c>
      <c r="G5532" s="2"/>
    </row>
    <row r="5533" spans="1:26" customHeight="1" ht="18" hidden="true" outlineLevel="4">
      <c r="A5533" s="2" t="s">
        <v>10480</v>
      </c>
      <c r="B5533" s="3" t="s">
        <v>10481</v>
      </c>
      <c r="C5533" s="2"/>
      <c r="D5533" s="2" t="s">
        <v>16</v>
      </c>
      <c r="E5533" s="4">
        <f>87.57*(1-Z1%)</f>
        <v>87.57</v>
      </c>
      <c r="F5533" s="2">
        <v>40</v>
      </c>
      <c r="G5533" s="2"/>
    </row>
    <row r="5534" spans="1:26" customHeight="1" ht="18" hidden="true" outlineLevel="4">
      <c r="A5534" s="2" t="s">
        <v>10482</v>
      </c>
      <c r="B5534" s="3" t="s">
        <v>10483</v>
      </c>
      <c r="C5534" s="2"/>
      <c r="D5534" s="2" t="s">
        <v>16</v>
      </c>
      <c r="E5534" s="4">
        <f>97.48*(1-Z1%)</f>
        <v>97.48</v>
      </c>
      <c r="F5534" s="2">
        <v>10</v>
      </c>
      <c r="G5534" s="2"/>
    </row>
    <row r="5535" spans="1:26" customHeight="1" ht="36" hidden="true" outlineLevel="4">
      <c r="A5535" s="2" t="s">
        <v>10484</v>
      </c>
      <c r="B5535" s="3" t="s">
        <v>10485</v>
      </c>
      <c r="C5535" s="2"/>
      <c r="D5535" s="2" t="s">
        <v>16</v>
      </c>
      <c r="E5535" s="4">
        <f>100.78*(1-Z1%)</f>
        <v>100.78</v>
      </c>
      <c r="F5535" s="2">
        <v>20</v>
      </c>
      <c r="G5535" s="2"/>
    </row>
    <row r="5536" spans="1:26" customHeight="1" ht="36" hidden="true" outlineLevel="4">
      <c r="A5536" s="2" t="s">
        <v>10486</v>
      </c>
      <c r="B5536" s="3" t="s">
        <v>10487</v>
      </c>
      <c r="C5536" s="2"/>
      <c r="D5536" s="2" t="s">
        <v>16</v>
      </c>
      <c r="E5536" s="4">
        <f>94.41*(1-Z1%)</f>
        <v>94.41</v>
      </c>
      <c r="F5536" s="2">
        <v>10</v>
      </c>
      <c r="G5536" s="2"/>
    </row>
    <row r="5537" spans="1:26" customHeight="1" ht="18" hidden="true" outlineLevel="4">
      <c r="A5537" s="2" t="s">
        <v>10488</v>
      </c>
      <c r="B5537" s="3" t="s">
        <v>10489</v>
      </c>
      <c r="C5537" s="2"/>
      <c r="D5537" s="2" t="s">
        <v>16</v>
      </c>
      <c r="E5537" s="4">
        <f>69.73*(1-Z1%)</f>
        <v>69.73</v>
      </c>
      <c r="F5537" s="2">
        <v>15</v>
      </c>
      <c r="G5537" s="2"/>
    </row>
    <row r="5538" spans="1:26" customHeight="1" ht="36" hidden="true" outlineLevel="4">
      <c r="A5538" s="2" t="s">
        <v>10490</v>
      </c>
      <c r="B5538" s="3" t="s">
        <v>10491</v>
      </c>
      <c r="C5538" s="2"/>
      <c r="D5538" s="2" t="s">
        <v>16</v>
      </c>
      <c r="E5538" s="4">
        <f>107.50*(1-Z1%)</f>
        <v>107.5</v>
      </c>
      <c r="F5538" s="2">
        <v>10</v>
      </c>
      <c r="G5538" s="2"/>
    </row>
    <row r="5539" spans="1:26" customHeight="1" ht="36" hidden="true" outlineLevel="4">
      <c r="A5539" s="2" t="s">
        <v>10492</v>
      </c>
      <c r="B5539" s="3" t="s">
        <v>10493</v>
      </c>
      <c r="C5539" s="2"/>
      <c r="D5539" s="2" t="s">
        <v>16</v>
      </c>
      <c r="E5539" s="4">
        <f>127.15*(1-Z1%)</f>
        <v>127.15</v>
      </c>
      <c r="F5539" s="2">
        <v>10</v>
      </c>
      <c r="G5539" s="2"/>
    </row>
    <row r="5540" spans="1:26" customHeight="1" ht="36" hidden="true" outlineLevel="4">
      <c r="A5540" s="2" t="s">
        <v>10494</v>
      </c>
      <c r="B5540" s="3" t="s">
        <v>10495</v>
      </c>
      <c r="C5540" s="2"/>
      <c r="D5540" s="2" t="s">
        <v>16</v>
      </c>
      <c r="E5540" s="4">
        <f>139.89*(1-Z1%)</f>
        <v>139.89</v>
      </c>
      <c r="F5540" s="2">
        <v>10</v>
      </c>
      <c r="G5540" s="2"/>
    </row>
    <row r="5541" spans="1:26" customHeight="1" ht="35" hidden="true" outlineLevel="4">
      <c r="A5541" s="5" t="s">
        <v>10496</v>
      </c>
      <c r="B5541" s="5"/>
      <c r="C5541" s="5"/>
      <c r="D5541" s="5"/>
      <c r="E5541" s="5"/>
      <c r="F5541" s="5"/>
      <c r="G5541" s="5"/>
    </row>
    <row r="5542" spans="1:26" customHeight="1" ht="18" hidden="true" outlineLevel="4">
      <c r="A5542" s="2" t="s">
        <v>10497</v>
      </c>
      <c r="B5542" s="3" t="s">
        <v>10498</v>
      </c>
      <c r="C5542" s="2"/>
      <c r="D5542" s="2" t="s">
        <v>16</v>
      </c>
      <c r="E5542" s="4">
        <f>77.58*(1-Z1%)</f>
        <v>77.58</v>
      </c>
      <c r="F5542" s="2">
        <v>16</v>
      </c>
      <c r="G5542" s="2"/>
    </row>
    <row r="5543" spans="1:26" customHeight="1" ht="18" hidden="true" outlineLevel="4">
      <c r="A5543" s="2" t="s">
        <v>10499</v>
      </c>
      <c r="B5543" s="3" t="s">
        <v>10500</v>
      </c>
      <c r="C5543" s="2"/>
      <c r="D5543" s="2" t="s">
        <v>16</v>
      </c>
      <c r="E5543" s="4">
        <f>78.72*(1-Z1%)</f>
        <v>78.72</v>
      </c>
      <c r="F5543" s="2">
        <v>20</v>
      </c>
      <c r="G5543" s="2"/>
    </row>
    <row r="5544" spans="1:26" customHeight="1" ht="18" hidden="true" outlineLevel="4">
      <c r="A5544" s="2" t="s">
        <v>10501</v>
      </c>
      <c r="B5544" s="3" t="s">
        <v>10502</v>
      </c>
      <c r="C5544" s="2"/>
      <c r="D5544" s="2" t="s">
        <v>16</v>
      </c>
      <c r="E5544" s="4">
        <f>98.15*(1-Z1%)</f>
        <v>98.15</v>
      </c>
      <c r="F5544" s="2">
        <v>16</v>
      </c>
      <c r="G5544" s="2"/>
    </row>
    <row r="5545" spans="1:26" customHeight="1" ht="18" hidden="true" outlineLevel="4">
      <c r="A5545" s="2" t="s">
        <v>10503</v>
      </c>
      <c r="B5545" s="3" t="s">
        <v>10504</v>
      </c>
      <c r="C5545" s="2"/>
      <c r="D5545" s="2" t="s">
        <v>16</v>
      </c>
      <c r="E5545" s="4">
        <f>99.59*(1-Z1%)</f>
        <v>99.59</v>
      </c>
      <c r="F5545" s="2">
        <v>57</v>
      </c>
      <c r="G5545" s="2"/>
    </row>
    <row r="5546" spans="1:26" customHeight="1" ht="36" hidden="true" outlineLevel="4">
      <c r="A5546" s="2" t="s">
        <v>10505</v>
      </c>
      <c r="B5546" s="3" t="s">
        <v>10506</v>
      </c>
      <c r="C5546" s="2"/>
      <c r="D5546" s="2" t="s">
        <v>16</v>
      </c>
      <c r="E5546" s="4">
        <f>107.50*(1-Z1%)</f>
        <v>107.5</v>
      </c>
      <c r="F5546" s="2">
        <v>10</v>
      </c>
      <c r="G5546" s="2"/>
    </row>
    <row r="5547" spans="1:26" customHeight="1" ht="18" hidden="true" outlineLevel="4">
      <c r="A5547" s="2" t="s">
        <v>10507</v>
      </c>
      <c r="B5547" s="3" t="s">
        <v>10508</v>
      </c>
      <c r="C5547" s="2"/>
      <c r="D5547" s="2" t="s">
        <v>16</v>
      </c>
      <c r="E5547" s="4">
        <f>96.65*(1-Z1%)</f>
        <v>96.65</v>
      </c>
      <c r="F5547" s="2">
        <v>30</v>
      </c>
      <c r="G5547" s="2"/>
    </row>
    <row r="5548" spans="1:26" customHeight="1" ht="18" hidden="true" outlineLevel="4">
      <c r="A5548" s="2" t="s">
        <v>10509</v>
      </c>
      <c r="B5548" s="3" t="s">
        <v>10510</v>
      </c>
      <c r="C5548" s="2"/>
      <c r="D5548" s="2" t="s">
        <v>16</v>
      </c>
      <c r="E5548" s="4">
        <f>65.00*(1-Z1%)</f>
        <v>65</v>
      </c>
      <c r="F5548" s="2">
        <v>50</v>
      </c>
      <c r="G5548" s="2"/>
    </row>
    <row r="5549" spans="1:26" customHeight="1" ht="36" hidden="true" outlineLevel="4">
      <c r="A5549" s="2" t="s">
        <v>10511</v>
      </c>
      <c r="B5549" s="3" t="s">
        <v>10512</v>
      </c>
      <c r="C5549" s="2"/>
      <c r="D5549" s="2" t="s">
        <v>16</v>
      </c>
      <c r="E5549" s="4">
        <f>107.50*(1-Z1%)</f>
        <v>107.5</v>
      </c>
      <c r="F5549" s="2">
        <v>20</v>
      </c>
      <c r="G5549" s="2"/>
    </row>
    <row r="5550" spans="1:26" customHeight="1" ht="18" hidden="true" outlineLevel="4">
      <c r="A5550" s="2" t="s">
        <v>10513</v>
      </c>
      <c r="B5550" s="3" t="s">
        <v>10514</v>
      </c>
      <c r="C5550" s="2"/>
      <c r="D5550" s="2" t="s">
        <v>16</v>
      </c>
      <c r="E5550" s="4">
        <f>87.88*(1-Z1%)</f>
        <v>87.88</v>
      </c>
      <c r="F5550" s="2">
        <v>10</v>
      </c>
      <c r="G5550" s="2"/>
    </row>
    <row r="5551" spans="1:26" customHeight="1" ht="18" hidden="true" outlineLevel="4">
      <c r="A5551" s="2" t="s">
        <v>10515</v>
      </c>
      <c r="B5551" s="3" t="s">
        <v>10516</v>
      </c>
      <c r="C5551" s="2"/>
      <c r="D5551" s="2" t="s">
        <v>16</v>
      </c>
      <c r="E5551" s="4">
        <f>65.00*(1-Z1%)</f>
        <v>65</v>
      </c>
      <c r="F5551" s="2">
        <v>39</v>
      </c>
      <c r="G5551" s="2"/>
    </row>
    <row r="5552" spans="1:26" customHeight="1" ht="18" hidden="true" outlineLevel="4">
      <c r="A5552" s="2" t="s">
        <v>10517</v>
      </c>
      <c r="B5552" s="3" t="s">
        <v>10518</v>
      </c>
      <c r="C5552" s="2"/>
      <c r="D5552" s="2" t="s">
        <v>16</v>
      </c>
      <c r="E5552" s="4">
        <f>108.18*(1-Z1%)</f>
        <v>108.18</v>
      </c>
      <c r="F5552" s="2">
        <v>21</v>
      </c>
      <c r="G5552" s="2"/>
    </row>
    <row r="5553" spans="1:26" customHeight="1" ht="36" hidden="true" outlineLevel="4">
      <c r="A5553" s="2" t="s">
        <v>10519</v>
      </c>
      <c r="B5553" s="3" t="s">
        <v>10520</v>
      </c>
      <c r="C5553" s="2"/>
      <c r="D5553" s="2" t="s">
        <v>16</v>
      </c>
      <c r="E5553" s="4">
        <f>118.25*(1-Z1%)</f>
        <v>118.25</v>
      </c>
      <c r="F5553" s="2">
        <v>20</v>
      </c>
      <c r="G5553" s="2"/>
    </row>
    <row r="5554" spans="1:26" customHeight="1" ht="18" hidden="true" outlineLevel="4">
      <c r="A5554" s="2" t="s">
        <v>10521</v>
      </c>
      <c r="B5554" s="3" t="s">
        <v>10522</v>
      </c>
      <c r="C5554" s="2"/>
      <c r="D5554" s="2" t="s">
        <v>16</v>
      </c>
      <c r="E5554" s="4">
        <f>87.88*(1-Z1%)</f>
        <v>87.88</v>
      </c>
      <c r="F5554" s="2">
        <v>19</v>
      </c>
      <c r="G5554" s="2"/>
    </row>
    <row r="5555" spans="1:26" customHeight="1" ht="36" hidden="true" outlineLevel="4">
      <c r="A5555" s="2" t="s">
        <v>10523</v>
      </c>
      <c r="B5555" s="3" t="s">
        <v>10524</v>
      </c>
      <c r="C5555" s="2"/>
      <c r="D5555" s="2" t="s">
        <v>16</v>
      </c>
      <c r="E5555" s="4">
        <f>127.15*(1-Z1%)</f>
        <v>127.15</v>
      </c>
      <c r="F5555" s="2">
        <v>5</v>
      </c>
      <c r="G5555" s="2"/>
    </row>
    <row r="5556" spans="1:26" customHeight="1" ht="18" hidden="true" outlineLevel="4">
      <c r="A5556" s="2" t="s">
        <v>10525</v>
      </c>
      <c r="B5556" s="3" t="s">
        <v>10526</v>
      </c>
      <c r="C5556" s="2"/>
      <c r="D5556" s="2" t="s">
        <v>16</v>
      </c>
      <c r="E5556" s="4">
        <f>120.21*(1-Z1%)</f>
        <v>120.21</v>
      </c>
      <c r="F5556" s="2">
        <v>30</v>
      </c>
      <c r="G5556" s="2"/>
    </row>
    <row r="5557" spans="1:26" customHeight="1" ht="18" hidden="true" outlineLevel="4">
      <c r="A5557" s="2" t="s">
        <v>10527</v>
      </c>
      <c r="B5557" s="3" t="s">
        <v>10528</v>
      </c>
      <c r="C5557" s="2"/>
      <c r="D5557" s="2" t="s">
        <v>16</v>
      </c>
      <c r="E5557" s="4">
        <f>89.52*(1-Z1%)</f>
        <v>89.52</v>
      </c>
      <c r="F5557" s="2">
        <v>10</v>
      </c>
      <c r="G5557" s="2"/>
    </row>
    <row r="5558" spans="1:26" customHeight="1" ht="18" hidden="true" outlineLevel="4">
      <c r="A5558" s="2" t="s">
        <v>10529</v>
      </c>
      <c r="B5558" s="3" t="s">
        <v>10530</v>
      </c>
      <c r="C5558" s="2"/>
      <c r="D5558" s="2" t="s">
        <v>16</v>
      </c>
      <c r="E5558" s="4">
        <f>76.56*(1-Z1%)</f>
        <v>76.56</v>
      </c>
      <c r="F5558" s="2">
        <v>79</v>
      </c>
      <c r="G5558" s="2"/>
    </row>
    <row r="5559" spans="1:26" customHeight="1" ht="36" hidden="true" outlineLevel="4">
      <c r="A5559" s="2" t="s">
        <v>10531</v>
      </c>
      <c r="B5559" s="3" t="s">
        <v>10532</v>
      </c>
      <c r="C5559" s="2"/>
      <c r="D5559" s="2" t="s">
        <v>16</v>
      </c>
      <c r="E5559" s="4">
        <f>139.89*(1-Z1%)</f>
        <v>139.89</v>
      </c>
      <c r="F5559" s="2">
        <v>30</v>
      </c>
      <c r="G5559" s="2"/>
    </row>
    <row r="5560" spans="1:26" customHeight="1" ht="18" hidden="true" outlineLevel="4">
      <c r="A5560" s="2" t="s">
        <v>10533</v>
      </c>
      <c r="B5560" s="3" t="s">
        <v>10534</v>
      </c>
      <c r="C5560" s="2"/>
      <c r="D5560" s="2" t="s">
        <v>16</v>
      </c>
      <c r="E5560" s="4">
        <f>120.21*(1-Z1%)</f>
        <v>120.21</v>
      </c>
      <c r="F5560" s="2">
        <v>10</v>
      </c>
      <c r="G5560" s="2"/>
    </row>
    <row r="5561" spans="1:26" customHeight="1" ht="18" hidden="true" outlineLevel="4">
      <c r="A5561" s="2" t="s">
        <v>10535</v>
      </c>
      <c r="B5561" s="3" t="s">
        <v>10536</v>
      </c>
      <c r="C5561" s="2"/>
      <c r="D5561" s="2" t="s">
        <v>16</v>
      </c>
      <c r="E5561" s="4">
        <f>76.56*(1-Z1%)</f>
        <v>76.56</v>
      </c>
      <c r="F5561" s="2">
        <v>40</v>
      </c>
      <c r="G5561" s="2"/>
    </row>
    <row r="5562" spans="1:26" customHeight="1" ht="18" hidden="true" outlineLevel="4">
      <c r="A5562" s="2" t="s">
        <v>10537</v>
      </c>
      <c r="B5562" s="3" t="s">
        <v>10538</v>
      </c>
      <c r="C5562" s="2"/>
      <c r="D5562" s="2" t="s">
        <v>16</v>
      </c>
      <c r="E5562" s="4">
        <f>124.74*(1-Z1%)</f>
        <v>124.74</v>
      </c>
      <c r="F5562" s="2">
        <v>30</v>
      </c>
      <c r="G5562" s="2"/>
    </row>
    <row r="5563" spans="1:26" customHeight="1" ht="36" hidden="true" outlineLevel="4">
      <c r="A5563" s="2" t="s">
        <v>10539</v>
      </c>
      <c r="B5563" s="3" t="s">
        <v>10540</v>
      </c>
      <c r="C5563" s="2"/>
      <c r="D5563" s="2" t="s">
        <v>16</v>
      </c>
      <c r="E5563" s="4">
        <f>127.15*(1-Z1%)</f>
        <v>127.15</v>
      </c>
      <c r="F5563" s="2">
        <v>30</v>
      </c>
      <c r="G5563" s="2"/>
    </row>
    <row r="5564" spans="1:26" customHeight="1" ht="35" hidden="true" outlineLevel="4">
      <c r="A5564" s="5" t="s">
        <v>10541</v>
      </c>
      <c r="B5564" s="5"/>
      <c r="C5564" s="5"/>
      <c r="D5564" s="5"/>
      <c r="E5564" s="5"/>
      <c r="F5564" s="5"/>
      <c r="G5564" s="5"/>
    </row>
    <row r="5565" spans="1:26" customHeight="1" ht="18" hidden="true" outlineLevel="4">
      <c r="A5565" s="2" t="s">
        <v>10542</v>
      </c>
      <c r="B5565" s="3" t="s">
        <v>10543</v>
      </c>
      <c r="C5565" s="2"/>
      <c r="D5565" s="2" t="s">
        <v>16</v>
      </c>
      <c r="E5565" s="4">
        <f>79.41*(1-Z1%)</f>
        <v>79.41</v>
      </c>
      <c r="F5565" s="2">
        <v>9</v>
      </c>
      <c r="G5565" s="2"/>
    </row>
    <row r="5566" spans="1:26" customHeight="1" ht="18" hidden="true" outlineLevel="4">
      <c r="A5566" s="2" t="s">
        <v>10544</v>
      </c>
      <c r="B5566" s="3" t="s">
        <v>10545</v>
      </c>
      <c r="C5566" s="2"/>
      <c r="D5566" s="2" t="s">
        <v>16</v>
      </c>
      <c r="E5566" s="4">
        <f>87.26*(1-Z1%)</f>
        <v>87.26</v>
      </c>
      <c r="F5566" s="2">
        <v>9</v>
      </c>
      <c r="G5566" s="2"/>
    </row>
    <row r="5567" spans="1:26" customHeight="1" ht="18" hidden="true" outlineLevel="4">
      <c r="A5567" s="2" t="s">
        <v>10546</v>
      </c>
      <c r="B5567" s="3" t="s">
        <v>10547</v>
      </c>
      <c r="C5567" s="2"/>
      <c r="D5567" s="2" t="s">
        <v>16</v>
      </c>
      <c r="E5567" s="4">
        <f>87.26*(1-Z1%)</f>
        <v>87.26</v>
      </c>
      <c r="F5567" s="2">
        <v>20</v>
      </c>
      <c r="G5567" s="2"/>
    </row>
    <row r="5568" spans="1:26" customHeight="1" ht="18" hidden="true" outlineLevel="4">
      <c r="A5568" s="2" t="s">
        <v>10548</v>
      </c>
      <c r="B5568" s="3" t="s">
        <v>10549</v>
      </c>
      <c r="C5568" s="2"/>
      <c r="D5568" s="2" t="s">
        <v>16</v>
      </c>
      <c r="E5568" s="4">
        <f>87.26*(1-Z1%)</f>
        <v>87.26</v>
      </c>
      <c r="F5568" s="2">
        <v>20</v>
      </c>
      <c r="G5568" s="2"/>
    </row>
    <row r="5569" spans="1:26" customHeight="1" ht="35" hidden="true" outlineLevel="4">
      <c r="A5569" s="5" t="s">
        <v>10550</v>
      </c>
      <c r="B5569" s="5"/>
      <c r="C5569" s="5"/>
      <c r="D5569" s="5"/>
      <c r="E5569" s="5"/>
      <c r="F5569" s="5"/>
      <c r="G5569" s="5"/>
    </row>
    <row r="5570" spans="1:26" customHeight="1" ht="18" hidden="true" outlineLevel="4">
      <c r="A5570" s="2" t="s">
        <v>10551</v>
      </c>
      <c r="B5570" s="3" t="s">
        <v>10552</v>
      </c>
      <c r="C5570" s="2"/>
      <c r="D5570" s="2" t="s">
        <v>16</v>
      </c>
      <c r="E5570" s="4">
        <f>123.66*(1-Z1%)</f>
        <v>123.66</v>
      </c>
      <c r="F5570" s="2">
        <v>10</v>
      </c>
      <c r="G5570" s="2"/>
    </row>
    <row r="5571" spans="1:26" customHeight="1" ht="18" hidden="true" outlineLevel="4">
      <c r="A5571" s="2" t="s">
        <v>10553</v>
      </c>
      <c r="B5571" s="3" t="s">
        <v>10554</v>
      </c>
      <c r="C5571" s="2"/>
      <c r="D5571" s="2" t="s">
        <v>16</v>
      </c>
      <c r="E5571" s="4">
        <f>123.66*(1-Z1%)</f>
        <v>123.66</v>
      </c>
      <c r="F5571" s="2">
        <v>10</v>
      </c>
      <c r="G5571" s="2"/>
    </row>
    <row r="5572" spans="1:26" customHeight="1" ht="36" hidden="true" outlineLevel="4">
      <c r="A5572" s="2" t="s">
        <v>10555</v>
      </c>
      <c r="B5572" s="3" t="s">
        <v>10556</v>
      </c>
      <c r="C5572" s="2"/>
      <c r="D5572" s="2" t="s">
        <v>16</v>
      </c>
      <c r="E5572" s="4">
        <f>62.42*(1-Z1%)</f>
        <v>62.42</v>
      </c>
      <c r="F5572" s="2">
        <v>20</v>
      </c>
      <c r="G5572" s="2"/>
    </row>
    <row r="5573" spans="1:26" customHeight="1" ht="18" hidden="true" outlineLevel="4">
      <c r="A5573" s="2" t="s">
        <v>10557</v>
      </c>
      <c r="B5573" s="3" t="s">
        <v>10558</v>
      </c>
      <c r="C5573" s="2"/>
      <c r="D5573" s="2" t="s">
        <v>16</v>
      </c>
      <c r="E5573" s="4">
        <f>62.42*(1-Z1%)</f>
        <v>62.42</v>
      </c>
      <c r="F5573" s="2">
        <v>3</v>
      </c>
      <c r="G5573" s="2"/>
    </row>
    <row r="5574" spans="1:26" customHeight="1" ht="36" hidden="true" outlineLevel="4">
      <c r="A5574" s="2" t="s">
        <v>10559</v>
      </c>
      <c r="B5574" s="3" t="s">
        <v>10560</v>
      </c>
      <c r="C5574" s="2"/>
      <c r="D5574" s="2" t="s">
        <v>16</v>
      </c>
      <c r="E5574" s="4">
        <f>62.42*(1-Z1%)</f>
        <v>62.42</v>
      </c>
      <c r="F5574" s="2">
        <v>10</v>
      </c>
      <c r="G5574" s="2"/>
    </row>
    <row r="5575" spans="1:26" customHeight="1" ht="18" hidden="true" outlineLevel="4">
      <c r="A5575" s="2" t="s">
        <v>10561</v>
      </c>
      <c r="B5575" s="3" t="s">
        <v>10562</v>
      </c>
      <c r="C5575" s="2"/>
      <c r="D5575" s="2" t="s">
        <v>16</v>
      </c>
      <c r="E5575" s="4">
        <f>56.70*(1-Z1%)</f>
        <v>56.7</v>
      </c>
      <c r="F5575" s="2">
        <v>14</v>
      </c>
      <c r="G5575" s="2"/>
    </row>
    <row r="5576" spans="1:26" customHeight="1" ht="18" hidden="true" outlineLevel="4">
      <c r="A5576" s="2" t="s">
        <v>10563</v>
      </c>
      <c r="B5576" s="3" t="s">
        <v>10564</v>
      </c>
      <c r="C5576" s="2"/>
      <c r="D5576" s="2" t="s">
        <v>16</v>
      </c>
      <c r="E5576" s="4">
        <f>45.50*(1-Z1%)</f>
        <v>45.5</v>
      </c>
      <c r="F5576" s="2">
        <v>15</v>
      </c>
      <c r="G5576" s="2"/>
    </row>
    <row r="5577" spans="1:26" customHeight="1" ht="18" hidden="true" outlineLevel="4">
      <c r="A5577" s="2" t="s">
        <v>10565</v>
      </c>
      <c r="B5577" s="3" t="s">
        <v>10566</v>
      </c>
      <c r="C5577" s="2"/>
      <c r="D5577" s="2" t="s">
        <v>16</v>
      </c>
      <c r="E5577" s="4">
        <f>73.65*(1-Z1%)</f>
        <v>73.65</v>
      </c>
      <c r="F5577" s="2">
        <v>30</v>
      </c>
      <c r="G5577" s="2"/>
    </row>
    <row r="5578" spans="1:26" customHeight="1" ht="36" hidden="true" outlineLevel="4">
      <c r="A5578" s="2" t="s">
        <v>10567</v>
      </c>
      <c r="B5578" s="3" t="s">
        <v>10568</v>
      </c>
      <c r="C5578" s="2"/>
      <c r="D5578" s="2" t="s">
        <v>16</v>
      </c>
      <c r="E5578" s="4">
        <f>73.65*(1-Z1%)</f>
        <v>73.65</v>
      </c>
      <c r="F5578" s="2">
        <v>16</v>
      </c>
      <c r="G5578" s="2"/>
    </row>
    <row r="5579" spans="1:26" customHeight="1" ht="18" hidden="true" outlineLevel="4">
      <c r="A5579" s="2" t="s">
        <v>10569</v>
      </c>
      <c r="B5579" s="3" t="s">
        <v>10570</v>
      </c>
      <c r="C5579" s="2"/>
      <c r="D5579" s="2" t="s">
        <v>16</v>
      </c>
      <c r="E5579" s="4">
        <f>70.88*(1-Z1%)</f>
        <v>70.88</v>
      </c>
      <c r="F5579" s="2">
        <v>17</v>
      </c>
      <c r="G5579" s="2"/>
    </row>
    <row r="5580" spans="1:26" customHeight="1" ht="18" hidden="true" outlineLevel="4">
      <c r="A5580" s="2" t="s">
        <v>10571</v>
      </c>
      <c r="B5580" s="3" t="s">
        <v>10572</v>
      </c>
      <c r="C5580" s="2"/>
      <c r="D5580" s="2" t="s">
        <v>16</v>
      </c>
      <c r="E5580" s="4">
        <f>58.15*(1-Z1%)</f>
        <v>58.15</v>
      </c>
      <c r="F5580" s="2">
        <v>7</v>
      </c>
      <c r="G5580" s="2"/>
    </row>
    <row r="5581" spans="1:26" customHeight="1" ht="18" hidden="true" outlineLevel="4">
      <c r="A5581" s="2" t="s">
        <v>10573</v>
      </c>
      <c r="B5581" s="3" t="s">
        <v>10574</v>
      </c>
      <c r="C5581" s="2"/>
      <c r="D5581" s="2" t="s">
        <v>16</v>
      </c>
      <c r="E5581" s="4">
        <f>62.75*(1-Z1%)</f>
        <v>62.75</v>
      </c>
      <c r="F5581" s="2">
        <v>3</v>
      </c>
      <c r="G5581" s="2"/>
    </row>
    <row r="5582" spans="1:26" customHeight="1" ht="36" hidden="true" outlineLevel="4">
      <c r="A5582" s="2" t="s">
        <v>10575</v>
      </c>
      <c r="B5582" s="3" t="s">
        <v>10576</v>
      </c>
      <c r="C5582" s="2"/>
      <c r="D5582" s="2" t="s">
        <v>16</v>
      </c>
      <c r="E5582" s="4">
        <f>98.46*(1-Z1%)</f>
        <v>98.46</v>
      </c>
      <c r="F5582" s="2">
        <v>10</v>
      </c>
      <c r="G5582" s="2"/>
    </row>
    <row r="5583" spans="1:26" customHeight="1" ht="18" hidden="true" outlineLevel="4">
      <c r="A5583" s="2" t="s">
        <v>10577</v>
      </c>
      <c r="B5583" s="3" t="s">
        <v>10578</v>
      </c>
      <c r="C5583" s="2"/>
      <c r="D5583" s="2" t="s">
        <v>16</v>
      </c>
      <c r="E5583" s="4">
        <f>98.46*(1-Z1%)</f>
        <v>98.46</v>
      </c>
      <c r="F5583" s="2">
        <v>17</v>
      </c>
      <c r="G5583" s="2"/>
    </row>
    <row r="5584" spans="1:26" customHeight="1" ht="36" hidden="true" outlineLevel="4">
      <c r="A5584" s="2" t="s">
        <v>10579</v>
      </c>
      <c r="B5584" s="3" t="s">
        <v>10580</v>
      </c>
      <c r="C5584" s="2"/>
      <c r="D5584" s="2" t="s">
        <v>16</v>
      </c>
      <c r="E5584" s="4">
        <f>105.37*(1-Z1%)</f>
        <v>105.37</v>
      </c>
      <c r="F5584" s="2">
        <v>16</v>
      </c>
      <c r="G5584" s="2"/>
    </row>
    <row r="5585" spans="1:26" customHeight="1" ht="18" hidden="true" outlineLevel="4">
      <c r="A5585" s="2" t="s">
        <v>10581</v>
      </c>
      <c r="B5585" s="3" t="s">
        <v>10582</v>
      </c>
      <c r="C5585" s="2"/>
      <c r="D5585" s="2" t="s">
        <v>16</v>
      </c>
      <c r="E5585" s="4">
        <f>72.32*(1-Z1%)</f>
        <v>72.32</v>
      </c>
      <c r="F5585" s="2">
        <v>1</v>
      </c>
      <c r="G5585" s="2"/>
    </row>
    <row r="5586" spans="1:26" customHeight="1" ht="35" hidden="true" outlineLevel="4">
      <c r="A5586" s="5" t="s">
        <v>10583</v>
      </c>
      <c r="B5586" s="5"/>
      <c r="C5586" s="5"/>
      <c r="D5586" s="5"/>
      <c r="E5586" s="5"/>
      <c r="F5586" s="5"/>
      <c r="G5586" s="5"/>
    </row>
    <row r="5587" spans="1:26" customHeight="1" ht="18" hidden="true" outlineLevel="4">
      <c r="A5587" s="2" t="s">
        <v>10584</v>
      </c>
      <c r="B5587" s="3" t="s">
        <v>10585</v>
      </c>
      <c r="C5587" s="2"/>
      <c r="D5587" s="2" t="s">
        <v>16</v>
      </c>
      <c r="E5587" s="4">
        <f>66.57*(1-Z1%)</f>
        <v>66.57</v>
      </c>
      <c r="F5587" s="2">
        <v>20</v>
      </c>
      <c r="G5587" s="2"/>
    </row>
    <row r="5588" spans="1:26" customHeight="1" ht="18" hidden="true" outlineLevel="4">
      <c r="A5588" s="2" t="s">
        <v>10586</v>
      </c>
      <c r="B5588" s="3" t="s">
        <v>10587</v>
      </c>
      <c r="C5588" s="2"/>
      <c r="D5588" s="2" t="s">
        <v>16</v>
      </c>
      <c r="E5588" s="4">
        <f>69.73*(1-Z1%)</f>
        <v>69.73</v>
      </c>
      <c r="F5588" s="2">
        <v>10</v>
      </c>
      <c r="G5588" s="2"/>
    </row>
    <row r="5589" spans="1:26" customHeight="1" ht="18" hidden="true" outlineLevel="4">
      <c r="A5589" s="2" t="s">
        <v>10588</v>
      </c>
      <c r="B5589" s="3" t="s">
        <v>10589</v>
      </c>
      <c r="C5589" s="2"/>
      <c r="D5589" s="2" t="s">
        <v>16</v>
      </c>
      <c r="E5589" s="4">
        <f>67.91*(1-Z1%)</f>
        <v>67.91</v>
      </c>
      <c r="F5589" s="2">
        <v>10</v>
      </c>
      <c r="G5589" s="2"/>
    </row>
    <row r="5590" spans="1:26" customHeight="1" ht="36" hidden="true" outlineLevel="4">
      <c r="A5590" s="2" t="s">
        <v>10590</v>
      </c>
      <c r="B5590" s="3" t="s">
        <v>10591</v>
      </c>
      <c r="C5590" s="2"/>
      <c r="D5590" s="2" t="s">
        <v>16</v>
      </c>
      <c r="E5590" s="4">
        <f>42.71*(1-Z1%)</f>
        <v>42.71</v>
      </c>
      <c r="F5590" s="2">
        <v>14</v>
      </c>
      <c r="G5590" s="2"/>
    </row>
    <row r="5591" spans="1:26" customHeight="1" ht="18" hidden="true" outlineLevel="4">
      <c r="A5591" s="2" t="s">
        <v>10592</v>
      </c>
      <c r="B5591" s="3" t="s">
        <v>10593</v>
      </c>
      <c r="C5591" s="2"/>
      <c r="D5591" s="2" t="s">
        <v>16</v>
      </c>
      <c r="E5591" s="4">
        <f>53.95*(1-Z1%)</f>
        <v>53.95</v>
      </c>
      <c r="F5591" s="2">
        <v>7</v>
      </c>
      <c r="G5591" s="2"/>
    </row>
    <row r="5592" spans="1:26" customHeight="1" ht="36" hidden="true" outlineLevel="4">
      <c r="A5592" s="2" t="s">
        <v>10594</v>
      </c>
      <c r="B5592" s="3" t="s">
        <v>10595</v>
      </c>
      <c r="C5592" s="2"/>
      <c r="D5592" s="2" t="s">
        <v>16</v>
      </c>
      <c r="E5592" s="4">
        <f>40.80*(1-Z1%)</f>
        <v>40.8</v>
      </c>
      <c r="F5592" s="2">
        <v>50</v>
      </c>
      <c r="G5592" s="2"/>
    </row>
    <row r="5593" spans="1:26" customHeight="1" ht="18" hidden="true" outlineLevel="4">
      <c r="A5593" s="2" t="s">
        <v>10596</v>
      </c>
      <c r="B5593" s="3" t="s">
        <v>10597</v>
      </c>
      <c r="C5593" s="2"/>
      <c r="D5593" s="2" t="s">
        <v>16</v>
      </c>
      <c r="E5593" s="4">
        <f>42.71*(1-Z1%)</f>
        <v>42.71</v>
      </c>
      <c r="F5593" s="2">
        <v>27</v>
      </c>
      <c r="G5593" s="2"/>
    </row>
    <row r="5594" spans="1:26" customHeight="1" ht="18" hidden="true" outlineLevel="4">
      <c r="A5594" s="2" t="s">
        <v>10598</v>
      </c>
      <c r="B5594" s="3" t="s">
        <v>10599</v>
      </c>
      <c r="C5594" s="2"/>
      <c r="D5594" s="2" t="s">
        <v>16</v>
      </c>
      <c r="E5594" s="4">
        <f>73.72*(1-Z1%)</f>
        <v>73.72</v>
      </c>
      <c r="F5594" s="2">
        <v>10</v>
      </c>
      <c r="G5594" s="2"/>
    </row>
    <row r="5595" spans="1:26" customHeight="1" ht="18" hidden="true" outlineLevel="4">
      <c r="A5595" s="2" t="s">
        <v>10600</v>
      </c>
      <c r="B5595" s="3" t="s">
        <v>10601</v>
      </c>
      <c r="C5595" s="2"/>
      <c r="D5595" s="2" t="s">
        <v>16</v>
      </c>
      <c r="E5595" s="4">
        <f>73.72*(1-Z1%)</f>
        <v>73.72</v>
      </c>
      <c r="F5595" s="2">
        <v>10</v>
      </c>
      <c r="G5595" s="2"/>
    </row>
    <row r="5596" spans="1:26" customHeight="1" ht="18" hidden="true" outlineLevel="4">
      <c r="A5596" s="2" t="s">
        <v>10602</v>
      </c>
      <c r="B5596" s="3" t="s">
        <v>10603</v>
      </c>
      <c r="C5596" s="2"/>
      <c r="D5596" s="2" t="s">
        <v>16</v>
      </c>
      <c r="E5596" s="4">
        <f>73.72*(1-Z1%)</f>
        <v>73.72</v>
      </c>
      <c r="F5596" s="2">
        <v>20</v>
      </c>
      <c r="G5596" s="2"/>
    </row>
    <row r="5597" spans="1:26" customHeight="1" ht="18" hidden="true" outlineLevel="4">
      <c r="A5597" s="2" t="s">
        <v>10604</v>
      </c>
      <c r="B5597" s="3" t="s">
        <v>10605</v>
      </c>
      <c r="C5597" s="2"/>
      <c r="D5597" s="2" t="s">
        <v>16</v>
      </c>
      <c r="E5597" s="4">
        <f>57.87*(1-Z1%)</f>
        <v>57.87</v>
      </c>
      <c r="F5597" s="2">
        <v>20</v>
      </c>
      <c r="G5597" s="2"/>
    </row>
    <row r="5598" spans="1:26" customHeight="1" ht="18" hidden="true" outlineLevel="4">
      <c r="A5598" s="2" t="s">
        <v>10606</v>
      </c>
      <c r="B5598" s="3" t="s">
        <v>10607</v>
      </c>
      <c r="C5598" s="2"/>
      <c r="D5598" s="2" t="s">
        <v>16</v>
      </c>
      <c r="E5598" s="4">
        <f>53.42*(1-Z1%)</f>
        <v>53.42</v>
      </c>
      <c r="F5598" s="2">
        <v>37</v>
      </c>
      <c r="G5598" s="2"/>
    </row>
    <row r="5599" spans="1:26" customHeight="1" ht="18" hidden="true" outlineLevel="4">
      <c r="A5599" s="2" t="s">
        <v>10608</v>
      </c>
      <c r="B5599" s="3" t="s">
        <v>10609</v>
      </c>
      <c r="C5599" s="2"/>
      <c r="D5599" s="2" t="s">
        <v>16</v>
      </c>
      <c r="E5599" s="4">
        <f>56.09*(1-Z1%)</f>
        <v>56.09</v>
      </c>
      <c r="F5599" s="2">
        <v>24</v>
      </c>
      <c r="G5599" s="2"/>
    </row>
    <row r="5600" spans="1:26" customHeight="1" ht="18" hidden="true" outlineLevel="4">
      <c r="A5600" s="2" t="s">
        <v>10610</v>
      </c>
      <c r="B5600" s="3" t="s">
        <v>10611</v>
      </c>
      <c r="C5600" s="2"/>
      <c r="D5600" s="2" t="s">
        <v>16</v>
      </c>
      <c r="E5600" s="4">
        <f>96.16*(1-Z1%)</f>
        <v>96.16</v>
      </c>
      <c r="F5600" s="2">
        <v>10</v>
      </c>
      <c r="G5600" s="2"/>
    </row>
    <row r="5601" spans="1:26" customHeight="1" ht="18" hidden="true" outlineLevel="4">
      <c r="A5601" s="2" t="s">
        <v>10612</v>
      </c>
      <c r="B5601" s="3" t="s">
        <v>10613</v>
      </c>
      <c r="C5601" s="2"/>
      <c r="D5601" s="2" t="s">
        <v>16</v>
      </c>
      <c r="E5601" s="4">
        <f>68.54*(1-Z1%)</f>
        <v>68.54</v>
      </c>
      <c r="F5601" s="2">
        <v>10</v>
      </c>
      <c r="G5601" s="2"/>
    </row>
    <row r="5602" spans="1:26" customHeight="1" ht="18" hidden="true" outlineLevel="4">
      <c r="A5602" s="2" t="s">
        <v>10614</v>
      </c>
      <c r="B5602" s="3" t="s">
        <v>10615</v>
      </c>
      <c r="C5602" s="2"/>
      <c r="D5602" s="2" t="s">
        <v>16</v>
      </c>
      <c r="E5602" s="4">
        <f>96.16*(1-Z1%)</f>
        <v>96.16</v>
      </c>
      <c r="F5602" s="2">
        <v>24</v>
      </c>
      <c r="G5602" s="2"/>
    </row>
    <row r="5603" spans="1:26" customHeight="1" ht="18" hidden="true" outlineLevel="4">
      <c r="A5603" s="2" t="s">
        <v>10616</v>
      </c>
      <c r="B5603" s="3" t="s">
        <v>10617</v>
      </c>
      <c r="C5603" s="2"/>
      <c r="D5603" s="2" t="s">
        <v>16</v>
      </c>
      <c r="E5603" s="4">
        <f>68.54*(1-Z1%)</f>
        <v>68.54</v>
      </c>
      <c r="F5603" s="2">
        <v>19</v>
      </c>
      <c r="G5603" s="2"/>
    </row>
    <row r="5604" spans="1:26" customHeight="1" ht="18" hidden="true" outlineLevel="4">
      <c r="A5604" s="2" t="s">
        <v>10618</v>
      </c>
      <c r="B5604" s="3" t="s">
        <v>10619</v>
      </c>
      <c r="C5604" s="2"/>
      <c r="D5604" s="2" t="s">
        <v>16</v>
      </c>
      <c r="E5604" s="4">
        <f>87.85*(1-Z1%)</f>
        <v>87.85</v>
      </c>
      <c r="F5604" s="2">
        <v>20</v>
      </c>
      <c r="G5604" s="2"/>
    </row>
    <row r="5605" spans="1:26" customHeight="1" ht="18" hidden="true" outlineLevel="4">
      <c r="A5605" s="2" t="s">
        <v>10620</v>
      </c>
      <c r="B5605" s="3" t="s">
        <v>10621</v>
      </c>
      <c r="C5605" s="2"/>
      <c r="D5605" s="2" t="s">
        <v>16</v>
      </c>
      <c r="E5605" s="4">
        <f>87.85*(1-Z1%)</f>
        <v>87.85</v>
      </c>
      <c r="F5605" s="2">
        <v>6</v>
      </c>
      <c r="G5605" s="2"/>
    </row>
    <row r="5606" spans="1:26" customHeight="1" ht="18" hidden="true" outlineLevel="4">
      <c r="A5606" s="2" t="s">
        <v>10622</v>
      </c>
      <c r="B5606" s="3" t="s">
        <v>10623</v>
      </c>
      <c r="C5606" s="2"/>
      <c r="D5606" s="2" t="s">
        <v>16</v>
      </c>
      <c r="E5606" s="4">
        <f>115.52*(1-Z1%)</f>
        <v>115.52</v>
      </c>
      <c r="F5606" s="2">
        <v>10</v>
      </c>
      <c r="G5606" s="2"/>
    </row>
    <row r="5607" spans="1:26" customHeight="1" ht="18" hidden="true" outlineLevel="4">
      <c r="A5607" s="2" t="s">
        <v>10624</v>
      </c>
      <c r="B5607" s="3" t="s">
        <v>10625</v>
      </c>
      <c r="C5607" s="2"/>
      <c r="D5607" s="2" t="s">
        <v>16</v>
      </c>
      <c r="E5607" s="4">
        <f>115.52*(1-Z1%)</f>
        <v>115.52</v>
      </c>
      <c r="F5607" s="2">
        <v>20</v>
      </c>
      <c r="G5607" s="2"/>
    </row>
    <row r="5608" spans="1:26" customHeight="1" ht="18" hidden="true" outlineLevel="4">
      <c r="A5608" s="2" t="s">
        <v>10626</v>
      </c>
      <c r="B5608" s="3" t="s">
        <v>10627</v>
      </c>
      <c r="C5608" s="2"/>
      <c r="D5608" s="2" t="s">
        <v>16</v>
      </c>
      <c r="E5608" s="4">
        <f>116.69*(1-Z1%)</f>
        <v>116.69</v>
      </c>
      <c r="F5608" s="2">
        <v>20</v>
      </c>
      <c r="G5608" s="2"/>
    </row>
    <row r="5609" spans="1:26" customHeight="1" ht="18" hidden="true" outlineLevel="4">
      <c r="A5609" s="2" t="s">
        <v>10628</v>
      </c>
      <c r="B5609" s="3" t="s">
        <v>10629</v>
      </c>
      <c r="C5609" s="2"/>
      <c r="D5609" s="2" t="s">
        <v>16</v>
      </c>
      <c r="E5609" s="4">
        <f>115.52*(1-Z1%)</f>
        <v>115.52</v>
      </c>
      <c r="F5609" s="2">
        <v>10</v>
      </c>
      <c r="G5609" s="2"/>
    </row>
    <row r="5610" spans="1:26" customHeight="1" ht="18" hidden="true" outlineLevel="4">
      <c r="A5610" s="2" t="s">
        <v>10630</v>
      </c>
      <c r="B5610" s="3" t="s">
        <v>10631</v>
      </c>
      <c r="C5610" s="2"/>
      <c r="D5610" s="2" t="s">
        <v>16</v>
      </c>
      <c r="E5610" s="4">
        <f>116.69*(1-Z1%)</f>
        <v>116.69</v>
      </c>
      <c r="F5610" s="2">
        <v>19</v>
      </c>
      <c r="G5610" s="2"/>
    </row>
    <row r="5611" spans="1:26" customHeight="1" ht="35" hidden="true" outlineLevel="3">
      <c r="A5611" s="5" t="s">
        <v>10632</v>
      </c>
      <c r="B5611" s="5"/>
      <c r="C5611" s="5"/>
      <c r="D5611" s="5"/>
      <c r="E5611" s="5"/>
      <c r="F5611" s="5"/>
      <c r="G5611" s="5"/>
    </row>
    <row r="5612" spans="1:26" customHeight="1" ht="18" hidden="true" outlineLevel="3">
      <c r="A5612" s="2" t="s">
        <v>10633</v>
      </c>
      <c r="B5612" s="3" t="s">
        <v>10634</v>
      </c>
      <c r="C5612" s="2"/>
      <c r="D5612" s="2" t="s">
        <v>16</v>
      </c>
      <c r="E5612" s="4">
        <f>298.65*(1-Z1%)</f>
        <v>298.65</v>
      </c>
      <c r="F5612" s="2">
        <v>4</v>
      </c>
      <c r="G5612" s="2"/>
    </row>
    <row r="5613" spans="1:26" customHeight="1" ht="35" hidden="true" outlineLevel="3">
      <c r="A5613" s="5" t="s">
        <v>10635</v>
      </c>
      <c r="B5613" s="5"/>
      <c r="C5613" s="5"/>
      <c r="D5613" s="5"/>
      <c r="E5613" s="5"/>
      <c r="F5613" s="5"/>
      <c r="G5613" s="5"/>
    </row>
    <row r="5614" spans="1:26" customHeight="1" ht="36" hidden="true" outlineLevel="3">
      <c r="A5614" s="2" t="s">
        <v>10636</v>
      </c>
      <c r="B5614" s="3" t="s">
        <v>10637</v>
      </c>
      <c r="C5614" s="2"/>
      <c r="D5614" s="2" t="s">
        <v>16</v>
      </c>
      <c r="E5614" s="4">
        <f>72.45*(1-Z1%)</f>
        <v>72.45</v>
      </c>
      <c r="F5614" s="2">
        <v>10</v>
      </c>
      <c r="G5614" s="2"/>
    </row>
    <row r="5615" spans="1:26" customHeight="1" ht="18" hidden="true" outlineLevel="3">
      <c r="A5615" s="2" t="s">
        <v>10638</v>
      </c>
      <c r="B5615" s="3" t="s">
        <v>10639</v>
      </c>
      <c r="C5615" s="2"/>
      <c r="D5615" s="2" t="s">
        <v>16</v>
      </c>
      <c r="E5615" s="4">
        <f>79.37*(1-Z1%)</f>
        <v>79.37</v>
      </c>
      <c r="F5615" s="2">
        <v>5</v>
      </c>
      <c r="G5615" s="2"/>
    </row>
    <row r="5616" spans="1:26" customHeight="1" ht="36" hidden="true" outlineLevel="3">
      <c r="A5616" s="2" t="s">
        <v>10640</v>
      </c>
      <c r="B5616" s="3" t="s">
        <v>10641</v>
      </c>
      <c r="C5616" s="2"/>
      <c r="D5616" s="2" t="s">
        <v>16</v>
      </c>
      <c r="E5616" s="4">
        <f>23.63*(1-Z1%)</f>
        <v>23.63</v>
      </c>
      <c r="F5616" s="2">
        <v>50</v>
      </c>
      <c r="G5616" s="2"/>
    </row>
    <row r="5617" spans="1:26" customHeight="1" ht="18" hidden="true" outlineLevel="3">
      <c r="A5617" s="2" t="s">
        <v>10642</v>
      </c>
      <c r="B5617" s="3" t="s">
        <v>10643</v>
      </c>
      <c r="C5617" s="2"/>
      <c r="D5617" s="2" t="s">
        <v>16</v>
      </c>
      <c r="E5617" s="4">
        <f>32.47*(1-Z1%)</f>
        <v>32.47</v>
      </c>
      <c r="F5617" s="2">
        <v>10</v>
      </c>
      <c r="G5617" s="2"/>
    </row>
    <row r="5618" spans="1:26" customHeight="1" ht="18" hidden="true" outlineLevel="3">
      <c r="A5618" s="2" t="s">
        <v>10644</v>
      </c>
      <c r="B5618" s="3" t="s">
        <v>10645</v>
      </c>
      <c r="C5618" s="2"/>
      <c r="D5618" s="2" t="s">
        <v>16</v>
      </c>
      <c r="E5618" s="4">
        <f>30.47*(1-Z1%)</f>
        <v>30.47</v>
      </c>
      <c r="F5618" s="2">
        <v>5</v>
      </c>
      <c r="G5618" s="2"/>
    </row>
    <row r="5619" spans="1:26" customHeight="1" ht="18" hidden="true" outlineLevel="3">
      <c r="A5619" s="2" t="s">
        <v>10646</v>
      </c>
      <c r="B5619" s="3" t="s">
        <v>10647</v>
      </c>
      <c r="C5619" s="2"/>
      <c r="D5619" s="2" t="s">
        <v>16</v>
      </c>
      <c r="E5619" s="4">
        <f>30.92*(1-Z1%)</f>
        <v>30.92</v>
      </c>
      <c r="F5619" s="2">
        <v>8</v>
      </c>
      <c r="G5619" s="2"/>
    </row>
    <row r="5620" spans="1:26" customHeight="1" ht="18" hidden="true" outlineLevel="3">
      <c r="A5620" s="2" t="s">
        <v>10648</v>
      </c>
      <c r="B5620" s="3" t="s">
        <v>10649</v>
      </c>
      <c r="C5620" s="2"/>
      <c r="D5620" s="2" t="s">
        <v>16</v>
      </c>
      <c r="E5620" s="4">
        <f>23.18*(1-Z1%)</f>
        <v>23.18</v>
      </c>
      <c r="F5620" s="2">
        <v>19</v>
      </c>
      <c r="G5620" s="2"/>
    </row>
    <row r="5621" spans="1:26" customHeight="1" ht="18" hidden="true" outlineLevel="3">
      <c r="A5621" s="2" t="s">
        <v>10650</v>
      </c>
      <c r="B5621" s="3" t="s">
        <v>10651</v>
      </c>
      <c r="C5621" s="2"/>
      <c r="D5621" s="2" t="s">
        <v>16</v>
      </c>
      <c r="E5621" s="4">
        <f>22.02*(1-Z1%)</f>
        <v>22.02</v>
      </c>
      <c r="F5621" s="2">
        <v>20</v>
      </c>
      <c r="G5621" s="2"/>
    </row>
    <row r="5622" spans="1:26" customHeight="1" ht="18" hidden="true" outlineLevel="3">
      <c r="A5622" s="2" t="s">
        <v>10652</v>
      </c>
      <c r="B5622" s="3" t="s">
        <v>10653</v>
      </c>
      <c r="C5622" s="2"/>
      <c r="D5622" s="2" t="s">
        <v>16</v>
      </c>
      <c r="E5622" s="4">
        <f>21.38*(1-Z1%)</f>
        <v>21.38</v>
      </c>
      <c r="F5622" s="2">
        <v>13</v>
      </c>
      <c r="G5622" s="2"/>
    </row>
    <row r="5623" spans="1:26" customHeight="1" ht="36" hidden="true" outlineLevel="3">
      <c r="A5623" s="2" t="s">
        <v>10654</v>
      </c>
      <c r="B5623" s="3" t="s">
        <v>10655</v>
      </c>
      <c r="C5623" s="2"/>
      <c r="D5623" s="2" t="s">
        <v>16</v>
      </c>
      <c r="E5623" s="4">
        <f>100.54*(1-Z1%)</f>
        <v>100.54</v>
      </c>
      <c r="F5623" s="2">
        <v>5</v>
      </c>
      <c r="G5623" s="2"/>
    </row>
    <row r="5624" spans="1:26" customHeight="1" ht="36" hidden="true" outlineLevel="3">
      <c r="A5624" s="2" t="s">
        <v>10656</v>
      </c>
      <c r="B5624" s="3" t="s">
        <v>10657</v>
      </c>
      <c r="C5624" s="2"/>
      <c r="D5624" s="2" t="s">
        <v>16</v>
      </c>
      <c r="E5624" s="4">
        <f>98.90*(1-Z1%)</f>
        <v>98.9</v>
      </c>
      <c r="F5624" s="2">
        <v>10</v>
      </c>
      <c r="G5624" s="2"/>
    </row>
    <row r="5625" spans="1:26" customHeight="1" ht="18" hidden="true" outlineLevel="3">
      <c r="A5625" s="2" t="s">
        <v>10658</v>
      </c>
      <c r="B5625" s="3" t="s">
        <v>10659</v>
      </c>
      <c r="C5625" s="2"/>
      <c r="D5625" s="2" t="s">
        <v>16</v>
      </c>
      <c r="E5625" s="4">
        <f>200.89*(1-Z1%)</f>
        <v>200.89</v>
      </c>
      <c r="F5625" s="2">
        <v>4</v>
      </c>
      <c r="G5625" s="2"/>
    </row>
    <row r="5626" spans="1:26" customHeight="1" ht="36" hidden="true" outlineLevel="3">
      <c r="A5626" s="2" t="s">
        <v>10660</v>
      </c>
      <c r="B5626" s="3" t="s">
        <v>10661</v>
      </c>
      <c r="C5626" s="2"/>
      <c r="D5626" s="2" t="s">
        <v>16</v>
      </c>
      <c r="E5626" s="4">
        <f>154.67*(1-Z1%)</f>
        <v>154.67</v>
      </c>
      <c r="F5626" s="2">
        <v>8</v>
      </c>
      <c r="G5626" s="2"/>
    </row>
    <row r="5627" spans="1:26" customHeight="1" ht="36" hidden="true" outlineLevel="3">
      <c r="A5627" s="2" t="s">
        <v>10662</v>
      </c>
      <c r="B5627" s="3" t="s">
        <v>10663</v>
      </c>
      <c r="C5627" s="2"/>
      <c r="D5627" s="2" t="s">
        <v>16</v>
      </c>
      <c r="E5627" s="4">
        <f>182.22*(1-Z1%)</f>
        <v>182.22</v>
      </c>
      <c r="F5627" s="2">
        <v>5</v>
      </c>
      <c r="G5627" s="2"/>
    </row>
    <row r="5628" spans="1:26" customHeight="1" ht="36" hidden="true" outlineLevel="3">
      <c r="A5628" s="2" t="s">
        <v>10664</v>
      </c>
      <c r="B5628" s="3" t="s">
        <v>10665</v>
      </c>
      <c r="C5628" s="2"/>
      <c r="D5628" s="2" t="s">
        <v>16</v>
      </c>
      <c r="E5628" s="4">
        <f>199.93*(1-Z1%)</f>
        <v>199.93</v>
      </c>
      <c r="F5628" s="2">
        <v>2</v>
      </c>
      <c r="G5628" s="2"/>
    </row>
    <row r="5629" spans="1:26" customHeight="1" ht="36" hidden="true" outlineLevel="3">
      <c r="A5629" s="2" t="s">
        <v>10666</v>
      </c>
      <c r="B5629" s="3" t="s">
        <v>10667</v>
      </c>
      <c r="C5629" s="2"/>
      <c r="D5629" s="2" t="s">
        <v>16</v>
      </c>
      <c r="E5629" s="4">
        <f>228.00*(1-Z1%)</f>
        <v>228</v>
      </c>
      <c r="F5629" s="2">
        <v>3</v>
      </c>
      <c r="G5629" s="2"/>
    </row>
    <row r="5630" spans="1:26" customHeight="1" ht="35" hidden="true" outlineLevel="2">
      <c r="A5630" s="5" t="s">
        <v>10668</v>
      </c>
      <c r="B5630" s="5"/>
      <c r="C5630" s="5"/>
      <c r="D5630" s="5"/>
      <c r="E5630" s="5"/>
      <c r="F5630" s="5"/>
      <c r="G5630" s="5"/>
    </row>
    <row r="5631" spans="1:26" customHeight="1" ht="35" hidden="true" outlineLevel="3">
      <c r="A5631" s="5" t="s">
        <v>10669</v>
      </c>
      <c r="B5631" s="5"/>
      <c r="C5631" s="5"/>
      <c r="D5631" s="5"/>
      <c r="E5631" s="5"/>
      <c r="F5631" s="5"/>
      <c r="G5631" s="5"/>
    </row>
    <row r="5632" spans="1:26" customHeight="1" ht="18" hidden="true" outlineLevel="3">
      <c r="A5632" s="2" t="s">
        <v>10670</v>
      </c>
      <c r="B5632" s="3" t="s">
        <v>10671</v>
      </c>
      <c r="C5632" s="2"/>
      <c r="D5632" s="2" t="s">
        <v>16</v>
      </c>
      <c r="E5632" s="4">
        <f>37.22*(1-Z1%)</f>
        <v>37.22</v>
      </c>
      <c r="F5632" s="2">
        <v>10</v>
      </c>
      <c r="G5632" s="2"/>
    </row>
    <row r="5633" spans="1:26" customHeight="1" ht="36" hidden="true" outlineLevel="3">
      <c r="A5633" s="2" t="s">
        <v>10672</v>
      </c>
      <c r="B5633" s="3" t="s">
        <v>10673</v>
      </c>
      <c r="C5633" s="2"/>
      <c r="D5633" s="2" t="s">
        <v>16</v>
      </c>
      <c r="E5633" s="4">
        <f>22.59*(1-Z1%)</f>
        <v>22.59</v>
      </c>
      <c r="F5633" s="2">
        <v>13</v>
      </c>
      <c r="G5633" s="2"/>
    </row>
    <row r="5634" spans="1:26" customHeight="1" ht="36" hidden="true" outlineLevel="3">
      <c r="A5634" s="2" t="s">
        <v>10674</v>
      </c>
      <c r="B5634" s="3" t="s">
        <v>10675</v>
      </c>
      <c r="C5634" s="2"/>
      <c r="D5634" s="2" t="s">
        <v>16</v>
      </c>
      <c r="E5634" s="4">
        <f>33.17*(1-Z1%)</f>
        <v>33.17</v>
      </c>
      <c r="F5634" s="2">
        <v>7</v>
      </c>
      <c r="G5634" s="2"/>
    </row>
    <row r="5635" spans="1:26" customHeight="1" ht="18" hidden="true" outlineLevel="3">
      <c r="A5635" s="2" t="s">
        <v>10676</v>
      </c>
      <c r="B5635" s="3" t="s">
        <v>10677</v>
      </c>
      <c r="C5635" s="2"/>
      <c r="D5635" s="2" t="s">
        <v>16</v>
      </c>
      <c r="E5635" s="4">
        <f>15.61*(1-Z1%)</f>
        <v>15.61</v>
      </c>
      <c r="F5635" s="2">
        <v>10</v>
      </c>
      <c r="G5635" s="2"/>
    </row>
    <row r="5636" spans="1:26" customHeight="1" ht="18" hidden="true" outlineLevel="3">
      <c r="A5636" s="2" t="s">
        <v>10678</v>
      </c>
      <c r="B5636" s="3" t="s">
        <v>10679</v>
      </c>
      <c r="C5636" s="2"/>
      <c r="D5636" s="2" t="s">
        <v>16</v>
      </c>
      <c r="E5636" s="4">
        <f>15.72*(1-Z1%)</f>
        <v>15.72</v>
      </c>
      <c r="F5636" s="2">
        <v>4</v>
      </c>
      <c r="G5636" s="2"/>
    </row>
    <row r="5637" spans="1:26" customHeight="1" ht="36" hidden="true" outlineLevel="3">
      <c r="A5637" s="2" t="s">
        <v>10680</v>
      </c>
      <c r="B5637" s="3" t="s">
        <v>10681</v>
      </c>
      <c r="C5637" s="2"/>
      <c r="D5637" s="2" t="s">
        <v>16</v>
      </c>
      <c r="E5637" s="4">
        <f>16.47*(1-Z1%)</f>
        <v>16.47</v>
      </c>
      <c r="F5637" s="2">
        <v>7</v>
      </c>
      <c r="G5637" s="2"/>
    </row>
    <row r="5638" spans="1:26" customHeight="1" ht="36" hidden="true" outlineLevel="3">
      <c r="A5638" s="2" t="s">
        <v>10682</v>
      </c>
      <c r="B5638" s="3" t="s">
        <v>10683</v>
      </c>
      <c r="C5638" s="2"/>
      <c r="D5638" s="2" t="s">
        <v>16</v>
      </c>
      <c r="E5638" s="4">
        <f>19.93*(1-Z1%)</f>
        <v>19.93</v>
      </c>
      <c r="F5638" s="2">
        <v>3</v>
      </c>
      <c r="G5638" s="2"/>
    </row>
    <row r="5639" spans="1:26" customHeight="1" ht="18" hidden="true" outlineLevel="3">
      <c r="A5639" s="2" t="s">
        <v>10684</v>
      </c>
      <c r="B5639" s="3" t="s">
        <v>10685</v>
      </c>
      <c r="C5639" s="2"/>
      <c r="D5639" s="2" t="s">
        <v>16</v>
      </c>
      <c r="E5639" s="4">
        <f>32.17*(1-Z1%)</f>
        <v>32.17</v>
      </c>
      <c r="F5639" s="2">
        <v>9</v>
      </c>
      <c r="G5639" s="2"/>
    </row>
    <row r="5640" spans="1:26" customHeight="1" ht="36" hidden="true" outlineLevel="3">
      <c r="A5640" s="2" t="s">
        <v>10686</v>
      </c>
      <c r="B5640" s="3" t="s">
        <v>10687</v>
      </c>
      <c r="C5640" s="2"/>
      <c r="D5640" s="2" t="s">
        <v>16</v>
      </c>
      <c r="E5640" s="4">
        <f>46.93*(1-Z1%)</f>
        <v>46.93</v>
      </c>
      <c r="F5640" s="2">
        <v>7</v>
      </c>
      <c r="G5640" s="2"/>
    </row>
    <row r="5641" spans="1:26" customHeight="1" ht="18" hidden="true" outlineLevel="3">
      <c r="A5641" s="2" t="s">
        <v>10688</v>
      </c>
      <c r="B5641" s="3" t="s">
        <v>10689</v>
      </c>
      <c r="C5641" s="2"/>
      <c r="D5641" s="2" t="s">
        <v>16</v>
      </c>
      <c r="E5641" s="4">
        <f>31.62*(1-Z1%)</f>
        <v>31.62</v>
      </c>
      <c r="F5641" s="2">
        <v>2</v>
      </c>
      <c r="G5641" s="2"/>
    </row>
    <row r="5642" spans="1:26" customHeight="1" ht="18" hidden="true" outlineLevel="3">
      <c r="A5642" s="2" t="s">
        <v>10690</v>
      </c>
      <c r="B5642" s="3" t="s">
        <v>10691</v>
      </c>
      <c r="C5642" s="2"/>
      <c r="D5642" s="2" t="s">
        <v>16</v>
      </c>
      <c r="E5642" s="4">
        <f>28.34*(1-Z1%)</f>
        <v>28.34</v>
      </c>
      <c r="F5642" s="2">
        <v>33</v>
      </c>
      <c r="G5642" s="2"/>
    </row>
    <row r="5643" spans="1:26" customHeight="1" ht="36" hidden="true" outlineLevel="3">
      <c r="A5643" s="2" t="s">
        <v>10692</v>
      </c>
      <c r="B5643" s="3" t="s">
        <v>10693</v>
      </c>
      <c r="C5643" s="2"/>
      <c r="D5643" s="2" t="s">
        <v>16</v>
      </c>
      <c r="E5643" s="4">
        <f>35.05*(1-Z1%)</f>
        <v>35.05</v>
      </c>
      <c r="F5643" s="2">
        <v>7</v>
      </c>
      <c r="G5643" s="2"/>
    </row>
    <row r="5644" spans="1:26" customHeight="1" ht="18" hidden="true" outlineLevel="3">
      <c r="A5644" s="2" t="s">
        <v>10694</v>
      </c>
      <c r="B5644" s="3" t="s">
        <v>10695</v>
      </c>
      <c r="C5644" s="2"/>
      <c r="D5644" s="2" t="s">
        <v>16</v>
      </c>
      <c r="E5644" s="4">
        <f>17.41*(1-Z1%)</f>
        <v>17.41</v>
      </c>
      <c r="F5644" s="2">
        <v>73</v>
      </c>
      <c r="G5644" s="2"/>
    </row>
    <row r="5645" spans="1:26" customHeight="1" ht="36" hidden="true" outlineLevel="3">
      <c r="A5645" s="2" t="s">
        <v>10696</v>
      </c>
      <c r="B5645" s="3" t="s">
        <v>10697</v>
      </c>
      <c r="C5645" s="2"/>
      <c r="D5645" s="2" t="s">
        <v>16</v>
      </c>
      <c r="E5645" s="4">
        <f>22.19*(1-Z1%)</f>
        <v>22.19</v>
      </c>
      <c r="F5645" s="2">
        <v>15</v>
      </c>
      <c r="G5645" s="2"/>
    </row>
    <row r="5646" spans="1:26" customHeight="1" ht="36" hidden="true" outlineLevel="3">
      <c r="A5646" s="2" t="s">
        <v>10698</v>
      </c>
      <c r="B5646" s="3" t="s">
        <v>10699</v>
      </c>
      <c r="C5646" s="2"/>
      <c r="D5646" s="2" t="s">
        <v>16</v>
      </c>
      <c r="E5646" s="4">
        <f>54.98*(1-Z1%)</f>
        <v>54.98</v>
      </c>
      <c r="F5646" s="2">
        <v>15</v>
      </c>
      <c r="G5646" s="2"/>
    </row>
    <row r="5647" spans="1:26" customHeight="1" ht="36" hidden="true" outlineLevel="3">
      <c r="A5647" s="2" t="s">
        <v>10700</v>
      </c>
      <c r="B5647" s="3" t="s">
        <v>10701</v>
      </c>
      <c r="C5647" s="2"/>
      <c r="D5647" s="2" t="s">
        <v>16</v>
      </c>
      <c r="E5647" s="4">
        <f>54.98*(1-Z1%)</f>
        <v>54.98</v>
      </c>
      <c r="F5647" s="2">
        <v>4</v>
      </c>
      <c r="G5647" s="2"/>
    </row>
    <row r="5648" spans="1:26" customHeight="1" ht="36" hidden="true" outlineLevel="3">
      <c r="A5648" s="2" t="s">
        <v>10702</v>
      </c>
      <c r="B5648" s="3" t="s">
        <v>10703</v>
      </c>
      <c r="C5648" s="2"/>
      <c r="D5648" s="2" t="s">
        <v>16</v>
      </c>
      <c r="E5648" s="4">
        <f>20.13*(1-Z1%)</f>
        <v>20.13</v>
      </c>
      <c r="F5648" s="2">
        <v>10</v>
      </c>
      <c r="G5648" s="2"/>
    </row>
    <row r="5649" spans="1:26" customHeight="1" ht="18" hidden="true" outlineLevel="3">
      <c r="A5649" s="2" t="s">
        <v>10704</v>
      </c>
      <c r="B5649" s="3" t="s">
        <v>10705</v>
      </c>
      <c r="C5649" s="2"/>
      <c r="D5649" s="2" t="s">
        <v>16</v>
      </c>
      <c r="E5649" s="4">
        <f>10.40*(1-Z1%)</f>
        <v>10.4</v>
      </c>
      <c r="F5649" s="2">
        <v>36</v>
      </c>
      <c r="G5649" s="2"/>
    </row>
    <row r="5650" spans="1:26" customHeight="1" ht="18" hidden="true" outlineLevel="3">
      <c r="A5650" s="2" t="s">
        <v>10706</v>
      </c>
      <c r="B5650" s="3" t="s">
        <v>10707</v>
      </c>
      <c r="C5650" s="2"/>
      <c r="D5650" s="2" t="s">
        <v>16</v>
      </c>
      <c r="E5650" s="4">
        <f>7.79*(1-Z1%)</f>
        <v>7.79</v>
      </c>
      <c r="F5650" s="2">
        <v>10</v>
      </c>
      <c r="G5650" s="2"/>
    </row>
    <row r="5651" spans="1:26" customHeight="1" ht="18" hidden="true" outlineLevel="3">
      <c r="A5651" s="2" t="s">
        <v>10708</v>
      </c>
      <c r="B5651" s="3" t="s">
        <v>10709</v>
      </c>
      <c r="C5651" s="2"/>
      <c r="D5651" s="2" t="s">
        <v>16</v>
      </c>
      <c r="E5651" s="4">
        <f>46.49*(1-Z1%)</f>
        <v>46.49</v>
      </c>
      <c r="F5651" s="2">
        <v>20</v>
      </c>
      <c r="G5651" s="2"/>
    </row>
    <row r="5652" spans="1:26" customHeight="1" ht="36" hidden="true" outlineLevel="3">
      <c r="A5652" s="2" t="s">
        <v>10710</v>
      </c>
      <c r="B5652" s="3" t="s">
        <v>10711</v>
      </c>
      <c r="C5652" s="2"/>
      <c r="D5652" s="2" t="s">
        <v>16</v>
      </c>
      <c r="E5652" s="4">
        <f>8.79*(1-Z1%)</f>
        <v>8.79</v>
      </c>
      <c r="F5652" s="2">
        <v>10</v>
      </c>
      <c r="G5652" s="2"/>
    </row>
    <row r="5653" spans="1:26" customHeight="1" ht="18" hidden="true" outlineLevel="3">
      <c r="A5653" s="2" t="s">
        <v>10712</v>
      </c>
      <c r="B5653" s="3" t="s">
        <v>10713</v>
      </c>
      <c r="C5653" s="2"/>
      <c r="D5653" s="2" t="s">
        <v>16</v>
      </c>
      <c r="E5653" s="4">
        <f>10.52*(1-Z1%)</f>
        <v>10.52</v>
      </c>
      <c r="F5653" s="2">
        <v>7</v>
      </c>
      <c r="G5653" s="2"/>
    </row>
    <row r="5654" spans="1:26" customHeight="1" ht="18" hidden="true" outlineLevel="3">
      <c r="A5654" s="2" t="s">
        <v>10714</v>
      </c>
      <c r="B5654" s="3" t="s">
        <v>10715</v>
      </c>
      <c r="C5654" s="2"/>
      <c r="D5654" s="2" t="s">
        <v>16</v>
      </c>
      <c r="E5654" s="4">
        <f>33.71*(1-Z1%)</f>
        <v>33.71</v>
      </c>
      <c r="F5654" s="2">
        <v>25</v>
      </c>
      <c r="G5654" s="2"/>
    </row>
    <row r="5655" spans="1:26" customHeight="1" ht="18" hidden="true" outlineLevel="3">
      <c r="A5655" s="2" t="s">
        <v>10716</v>
      </c>
      <c r="B5655" s="3" t="s">
        <v>10717</v>
      </c>
      <c r="C5655" s="2"/>
      <c r="D5655" s="2" t="s">
        <v>16</v>
      </c>
      <c r="E5655" s="4">
        <f>163.41*(1-Z1%)</f>
        <v>163.41</v>
      </c>
      <c r="F5655" s="2">
        <v>4</v>
      </c>
      <c r="G5655" s="2"/>
    </row>
    <row r="5656" spans="1:26" customHeight="1" ht="18" hidden="true" outlineLevel="3">
      <c r="A5656" s="2" t="s">
        <v>10718</v>
      </c>
      <c r="B5656" s="3" t="s">
        <v>10719</v>
      </c>
      <c r="C5656" s="2"/>
      <c r="D5656" s="2" t="s">
        <v>16</v>
      </c>
      <c r="E5656" s="4">
        <f>163.41*(1-Z1%)</f>
        <v>163.41</v>
      </c>
      <c r="F5656" s="2">
        <v>4</v>
      </c>
      <c r="G5656" s="2"/>
    </row>
    <row r="5657" spans="1:26" customHeight="1" ht="18" hidden="true" outlineLevel="3">
      <c r="A5657" s="2" t="s">
        <v>10720</v>
      </c>
      <c r="B5657" s="3" t="s">
        <v>10721</v>
      </c>
      <c r="C5657" s="2"/>
      <c r="D5657" s="2" t="s">
        <v>16</v>
      </c>
      <c r="E5657" s="4">
        <f>163.41*(1-Z1%)</f>
        <v>163.41</v>
      </c>
      <c r="F5657" s="2">
        <v>3</v>
      </c>
      <c r="G5657" s="2"/>
    </row>
    <row r="5658" spans="1:26" customHeight="1" ht="18" hidden="true" outlineLevel="3">
      <c r="A5658" s="2" t="s">
        <v>10722</v>
      </c>
      <c r="B5658" s="3" t="s">
        <v>10723</v>
      </c>
      <c r="C5658" s="2"/>
      <c r="D5658" s="2" t="s">
        <v>16</v>
      </c>
      <c r="E5658" s="4">
        <f>171.64*(1-Z1%)</f>
        <v>171.64</v>
      </c>
      <c r="F5658" s="2">
        <v>4</v>
      </c>
      <c r="G5658" s="2"/>
    </row>
    <row r="5659" spans="1:26" customHeight="1" ht="35" hidden="true" outlineLevel="3">
      <c r="A5659" s="5" t="s">
        <v>10724</v>
      </c>
      <c r="B5659" s="5"/>
      <c r="C5659" s="5"/>
      <c r="D5659" s="5"/>
      <c r="E5659" s="5"/>
      <c r="F5659" s="5"/>
      <c r="G5659" s="5"/>
    </row>
    <row r="5660" spans="1:26" customHeight="1" ht="36" hidden="true" outlineLevel="3">
      <c r="A5660" s="2" t="s">
        <v>10725</v>
      </c>
      <c r="B5660" s="3" t="s">
        <v>10726</v>
      </c>
      <c r="C5660" s="2"/>
      <c r="D5660" s="2" t="s">
        <v>16</v>
      </c>
      <c r="E5660" s="4">
        <f>50.06*(1-Z1%)</f>
        <v>50.06</v>
      </c>
      <c r="F5660" s="2">
        <v>45</v>
      </c>
      <c r="G5660" s="2"/>
    </row>
    <row r="5661" spans="1:26" customHeight="1" ht="18" hidden="true" outlineLevel="3">
      <c r="A5661" s="2" t="s">
        <v>10727</v>
      </c>
      <c r="B5661" s="3" t="s">
        <v>10728</v>
      </c>
      <c r="C5661" s="2"/>
      <c r="D5661" s="2" t="s">
        <v>16</v>
      </c>
      <c r="E5661" s="4">
        <f>46.14*(1-Z1%)</f>
        <v>46.14</v>
      </c>
      <c r="F5661" s="2">
        <v>2</v>
      </c>
      <c r="G5661" s="2"/>
    </row>
    <row r="5662" spans="1:26" customHeight="1" ht="36" hidden="true" outlineLevel="3">
      <c r="A5662" s="2" t="s">
        <v>10729</v>
      </c>
      <c r="B5662" s="3" t="s">
        <v>10730</v>
      </c>
      <c r="C5662" s="2"/>
      <c r="D5662" s="2" t="s">
        <v>16</v>
      </c>
      <c r="E5662" s="4">
        <f>51.64*(1-Z1%)</f>
        <v>51.64</v>
      </c>
      <c r="F5662" s="2">
        <v>45</v>
      </c>
      <c r="G5662" s="2"/>
    </row>
    <row r="5663" spans="1:26" customHeight="1" ht="18" hidden="true" outlineLevel="3">
      <c r="A5663" s="2" t="s">
        <v>10731</v>
      </c>
      <c r="B5663" s="3" t="s">
        <v>10732</v>
      </c>
      <c r="C5663" s="2"/>
      <c r="D5663" s="2" t="s">
        <v>16</v>
      </c>
      <c r="E5663" s="4">
        <f>43.14*(1-Z1%)</f>
        <v>43.14</v>
      </c>
      <c r="F5663" s="2">
        <v>5</v>
      </c>
      <c r="G5663" s="2"/>
    </row>
    <row r="5664" spans="1:26" customHeight="1" ht="18" hidden="true" outlineLevel="3">
      <c r="A5664" s="2" t="s">
        <v>10733</v>
      </c>
      <c r="B5664" s="3" t="s">
        <v>10734</v>
      </c>
      <c r="C5664" s="2"/>
      <c r="D5664" s="2" t="s">
        <v>16</v>
      </c>
      <c r="E5664" s="4">
        <f>75.76*(1-Z1%)</f>
        <v>75.76</v>
      </c>
      <c r="F5664" s="2">
        <v>3</v>
      </c>
      <c r="G5664" s="2"/>
    </row>
    <row r="5665" spans="1:26" customHeight="1" ht="18" hidden="true" outlineLevel="3">
      <c r="A5665" s="2" t="s">
        <v>10735</v>
      </c>
      <c r="B5665" s="3" t="s">
        <v>10736</v>
      </c>
      <c r="C5665" s="2"/>
      <c r="D5665" s="2" t="s">
        <v>16</v>
      </c>
      <c r="E5665" s="4">
        <f>48.81*(1-Z1%)</f>
        <v>48.81</v>
      </c>
      <c r="F5665" s="2">
        <v>3</v>
      </c>
      <c r="G5665" s="2"/>
    </row>
    <row r="5666" spans="1:26" customHeight="1" ht="18" hidden="true" outlineLevel="3">
      <c r="A5666" s="2" t="s">
        <v>10737</v>
      </c>
      <c r="B5666" s="3" t="s">
        <v>10738</v>
      </c>
      <c r="C5666" s="2"/>
      <c r="D5666" s="2" t="s">
        <v>16</v>
      </c>
      <c r="E5666" s="4">
        <f>51.26*(1-Z1%)</f>
        <v>51.26</v>
      </c>
      <c r="F5666" s="2">
        <v>1</v>
      </c>
      <c r="G5666" s="2"/>
    </row>
    <row r="5667" spans="1:26" customHeight="1" ht="18" hidden="true" outlineLevel="3">
      <c r="A5667" s="2" t="s">
        <v>10739</v>
      </c>
      <c r="B5667" s="3" t="s">
        <v>10740</v>
      </c>
      <c r="C5667" s="2"/>
      <c r="D5667" s="2" t="s">
        <v>16</v>
      </c>
      <c r="E5667" s="4">
        <f>51.26*(1-Z1%)</f>
        <v>51.26</v>
      </c>
      <c r="F5667" s="2">
        <v>1</v>
      </c>
      <c r="G5667" s="2"/>
    </row>
    <row r="5668" spans="1:26" customHeight="1" ht="36" hidden="true" outlineLevel="3">
      <c r="A5668" s="2" t="s">
        <v>10741</v>
      </c>
      <c r="B5668" s="3" t="s">
        <v>10742</v>
      </c>
      <c r="C5668" s="2"/>
      <c r="D5668" s="2" t="s">
        <v>16</v>
      </c>
      <c r="E5668" s="4">
        <f>30.49*(1-Z1%)</f>
        <v>30.49</v>
      </c>
      <c r="F5668" s="2">
        <v>4</v>
      </c>
      <c r="G5668" s="2"/>
    </row>
    <row r="5669" spans="1:26" customHeight="1" ht="36" hidden="true" outlineLevel="3">
      <c r="A5669" s="2" t="s">
        <v>10743</v>
      </c>
      <c r="B5669" s="3" t="s">
        <v>10744</v>
      </c>
      <c r="C5669" s="2"/>
      <c r="D5669" s="2" t="s">
        <v>16</v>
      </c>
      <c r="E5669" s="4">
        <f>180.57*(1-Z1%)</f>
        <v>180.57</v>
      </c>
      <c r="F5669" s="2">
        <v>3</v>
      </c>
      <c r="G5669" s="2"/>
    </row>
    <row r="5670" spans="1:26" customHeight="1" ht="36" hidden="true" outlineLevel="3">
      <c r="A5670" s="2" t="s">
        <v>10745</v>
      </c>
      <c r="B5670" s="3" t="s">
        <v>10746</v>
      </c>
      <c r="C5670" s="2"/>
      <c r="D5670" s="2" t="s">
        <v>16</v>
      </c>
      <c r="E5670" s="4">
        <f>137.99*(1-Z1%)</f>
        <v>137.99</v>
      </c>
      <c r="F5670" s="2">
        <v>3</v>
      </c>
      <c r="G5670" s="2"/>
    </row>
    <row r="5671" spans="1:26" customHeight="1" ht="36" hidden="true" outlineLevel="3">
      <c r="A5671" s="2" t="s">
        <v>10747</v>
      </c>
      <c r="B5671" s="3" t="s">
        <v>10748</v>
      </c>
      <c r="C5671" s="2"/>
      <c r="D5671" s="2" t="s">
        <v>16</v>
      </c>
      <c r="E5671" s="4">
        <f>146.87*(1-Z1%)</f>
        <v>146.87</v>
      </c>
      <c r="F5671" s="2">
        <v>3</v>
      </c>
      <c r="G5671" s="2"/>
    </row>
    <row r="5672" spans="1:26" customHeight="1" ht="36" hidden="true" outlineLevel="3">
      <c r="A5672" s="2" t="s">
        <v>10749</v>
      </c>
      <c r="B5672" s="3" t="s">
        <v>10750</v>
      </c>
      <c r="C5672" s="2"/>
      <c r="D5672" s="2" t="s">
        <v>16</v>
      </c>
      <c r="E5672" s="4">
        <f>70.97*(1-Z1%)</f>
        <v>70.97</v>
      </c>
      <c r="F5672" s="2">
        <v>6</v>
      </c>
      <c r="G5672" s="2"/>
    </row>
    <row r="5673" spans="1:26" customHeight="1" ht="36" hidden="true" outlineLevel="3">
      <c r="A5673" s="2" t="s">
        <v>10751</v>
      </c>
      <c r="B5673" s="3" t="s">
        <v>10752</v>
      </c>
      <c r="C5673" s="2"/>
      <c r="D5673" s="2" t="s">
        <v>16</v>
      </c>
      <c r="E5673" s="4">
        <f>180.57*(1-Z1%)</f>
        <v>180.57</v>
      </c>
      <c r="F5673" s="2">
        <v>1</v>
      </c>
      <c r="G5673" s="2"/>
    </row>
    <row r="5674" spans="1:26" customHeight="1" ht="18" hidden="true" outlineLevel="3">
      <c r="A5674" s="2" t="s">
        <v>10753</v>
      </c>
      <c r="B5674" s="3" t="s">
        <v>10754</v>
      </c>
      <c r="C5674" s="2"/>
      <c r="D5674" s="2" t="s">
        <v>16</v>
      </c>
      <c r="E5674" s="4">
        <f>113.95*(1-Z1%)</f>
        <v>113.95</v>
      </c>
      <c r="F5674" s="2">
        <v>1</v>
      </c>
      <c r="G5674" s="2"/>
    </row>
    <row r="5675" spans="1:26" customHeight="1" ht="35" hidden="true" outlineLevel="2">
      <c r="A5675" s="5" t="s">
        <v>10755</v>
      </c>
      <c r="B5675" s="5"/>
      <c r="C5675" s="5"/>
      <c r="D5675" s="5"/>
      <c r="E5675" s="5"/>
      <c r="F5675" s="5"/>
      <c r="G5675" s="5"/>
    </row>
    <row r="5676" spans="1:26" customHeight="1" ht="35" hidden="true" outlineLevel="3">
      <c r="A5676" s="5" t="s">
        <v>10756</v>
      </c>
      <c r="B5676" s="5"/>
      <c r="C5676" s="5"/>
      <c r="D5676" s="5"/>
      <c r="E5676" s="5"/>
      <c r="F5676" s="5"/>
      <c r="G5676" s="5"/>
    </row>
    <row r="5677" spans="1:26" customHeight="1" ht="36" hidden="true" outlineLevel="3">
      <c r="A5677" s="2" t="s">
        <v>10757</v>
      </c>
      <c r="B5677" s="3" t="s">
        <v>10758</v>
      </c>
      <c r="C5677" s="2"/>
      <c r="D5677" s="2" t="s">
        <v>16</v>
      </c>
      <c r="E5677" s="4">
        <f>91.46*(1-Z1%)</f>
        <v>91.46</v>
      </c>
      <c r="F5677" s="2">
        <v>1</v>
      </c>
      <c r="G5677" s="2"/>
    </row>
    <row r="5678" spans="1:26" customHeight="1" ht="36" hidden="true" outlineLevel="3">
      <c r="A5678" s="2" t="s">
        <v>10759</v>
      </c>
      <c r="B5678" s="3" t="s">
        <v>10760</v>
      </c>
      <c r="C5678" s="2"/>
      <c r="D5678" s="2" t="s">
        <v>16</v>
      </c>
      <c r="E5678" s="4">
        <f>199.40*(1-Z1%)</f>
        <v>199.4</v>
      </c>
      <c r="F5678" s="2">
        <v>2</v>
      </c>
      <c r="G5678" s="2"/>
    </row>
    <row r="5679" spans="1:26" customHeight="1" ht="36" hidden="true" outlineLevel="3">
      <c r="A5679" s="2" t="s">
        <v>10761</v>
      </c>
      <c r="B5679" s="3" t="s">
        <v>10762</v>
      </c>
      <c r="C5679" s="2"/>
      <c r="D5679" s="2" t="s">
        <v>16</v>
      </c>
      <c r="E5679" s="4">
        <f>229.38*(1-Z1%)</f>
        <v>229.38</v>
      </c>
      <c r="F5679" s="2">
        <v>2</v>
      </c>
      <c r="G5679" s="2"/>
    </row>
    <row r="5680" spans="1:26" customHeight="1" ht="36" hidden="true" outlineLevel="3">
      <c r="A5680" s="2" t="s">
        <v>10763</v>
      </c>
      <c r="B5680" s="3" t="s">
        <v>10764</v>
      </c>
      <c r="C5680" s="2"/>
      <c r="D5680" s="2" t="s">
        <v>16</v>
      </c>
      <c r="E5680" s="4">
        <f>212.89*(1-Z1%)</f>
        <v>212.89</v>
      </c>
      <c r="F5680" s="2">
        <v>2</v>
      </c>
      <c r="G5680" s="2"/>
    </row>
    <row r="5681" spans="1:26" customHeight="1" ht="36" hidden="true" outlineLevel="3">
      <c r="A5681" s="2" t="s">
        <v>10765</v>
      </c>
      <c r="B5681" s="3" t="s">
        <v>10766</v>
      </c>
      <c r="C5681" s="2"/>
      <c r="D5681" s="2" t="s">
        <v>16</v>
      </c>
      <c r="E5681" s="4">
        <f>172.41*(1-Z1%)</f>
        <v>172.41</v>
      </c>
      <c r="F5681" s="2">
        <v>2</v>
      </c>
      <c r="G5681" s="2"/>
    </row>
    <row r="5682" spans="1:26" customHeight="1" ht="36" hidden="true" outlineLevel="3">
      <c r="A5682" s="2" t="s">
        <v>10767</v>
      </c>
      <c r="B5682" s="3" t="s">
        <v>10768</v>
      </c>
      <c r="C5682" s="2"/>
      <c r="D5682" s="2" t="s">
        <v>16</v>
      </c>
      <c r="E5682" s="4">
        <f>94.05*(1-Z1%)</f>
        <v>94.05</v>
      </c>
      <c r="F5682" s="2">
        <v>1</v>
      </c>
      <c r="G5682" s="2"/>
    </row>
    <row r="5683" spans="1:26" customHeight="1" ht="18" hidden="true" outlineLevel="3">
      <c r="A5683" s="2" t="s">
        <v>10769</v>
      </c>
      <c r="B5683" s="3" t="s">
        <v>10770</v>
      </c>
      <c r="C5683" s="2"/>
      <c r="D5683" s="2" t="s">
        <v>16</v>
      </c>
      <c r="E5683" s="4">
        <f>640.24*(1-Z1%)</f>
        <v>640.24</v>
      </c>
      <c r="F5683" s="2">
        <v>2</v>
      </c>
      <c r="G5683" s="2"/>
    </row>
    <row r="5684" spans="1:26" customHeight="1" ht="18" hidden="true" outlineLevel="3">
      <c r="A5684" s="2" t="s">
        <v>10771</v>
      </c>
      <c r="B5684" s="3" t="s">
        <v>10772</v>
      </c>
      <c r="C5684" s="2"/>
      <c r="D5684" s="2" t="s">
        <v>16</v>
      </c>
      <c r="E5684" s="4">
        <f>675.68*(1-Z1%)</f>
        <v>675.68</v>
      </c>
      <c r="F5684" s="2">
        <v>2</v>
      </c>
      <c r="G5684" s="2"/>
    </row>
    <row r="5685" spans="1:26" customHeight="1" ht="35" hidden="true" outlineLevel="3">
      <c r="A5685" s="5" t="s">
        <v>10773</v>
      </c>
      <c r="B5685" s="5"/>
      <c r="C5685" s="5"/>
      <c r="D5685" s="5"/>
      <c r="E5685" s="5"/>
      <c r="F5685" s="5"/>
      <c r="G5685" s="5"/>
    </row>
    <row r="5686" spans="1:26" customHeight="1" ht="35" hidden="true" outlineLevel="4">
      <c r="A5686" s="5" t="s">
        <v>10774</v>
      </c>
      <c r="B5686" s="5"/>
      <c r="C5686" s="5"/>
      <c r="D5686" s="5"/>
      <c r="E5686" s="5"/>
      <c r="F5686" s="5"/>
      <c r="G5686" s="5"/>
    </row>
    <row r="5687" spans="1:26" customHeight="1" ht="36" hidden="true" outlineLevel="4">
      <c r="A5687" s="2" t="s">
        <v>10775</v>
      </c>
      <c r="B5687" s="3" t="s">
        <v>10776</v>
      </c>
      <c r="C5687" s="2"/>
      <c r="D5687" s="2" t="s">
        <v>16</v>
      </c>
      <c r="E5687" s="4">
        <f>706.00*(1-Z1%)</f>
        <v>706</v>
      </c>
      <c r="F5687" s="2">
        <v>4</v>
      </c>
      <c r="G5687" s="2"/>
    </row>
    <row r="5688" spans="1:26" customHeight="1" ht="36" hidden="true" outlineLevel="4">
      <c r="A5688" s="2" t="s">
        <v>10777</v>
      </c>
      <c r="B5688" s="3" t="s">
        <v>10778</v>
      </c>
      <c r="C5688" s="2"/>
      <c r="D5688" s="2" t="s">
        <v>16</v>
      </c>
      <c r="E5688" s="4">
        <f>376.53*(1-Z1%)</f>
        <v>376.53</v>
      </c>
      <c r="F5688" s="2">
        <v>2</v>
      </c>
      <c r="G5688" s="2"/>
    </row>
    <row r="5689" spans="1:26" customHeight="1" ht="36" hidden="true" outlineLevel="4">
      <c r="A5689" s="2" t="s">
        <v>10779</v>
      </c>
      <c r="B5689" s="3" t="s">
        <v>10780</v>
      </c>
      <c r="C5689" s="2"/>
      <c r="D5689" s="2" t="s">
        <v>16</v>
      </c>
      <c r="E5689" s="4">
        <f>528.15*(1-Z1%)</f>
        <v>528.15</v>
      </c>
      <c r="F5689" s="2">
        <v>5</v>
      </c>
      <c r="G5689" s="2"/>
    </row>
    <row r="5690" spans="1:26" customHeight="1" ht="54" hidden="true" outlineLevel="4">
      <c r="A5690" s="2" t="s">
        <v>10781</v>
      </c>
      <c r="B5690" s="3" t="s">
        <v>10782</v>
      </c>
      <c r="C5690" s="2"/>
      <c r="D5690" s="2" t="s">
        <v>16</v>
      </c>
      <c r="E5690" s="4">
        <f>605.54*(1-Z1%)</f>
        <v>605.54</v>
      </c>
      <c r="F5690" s="2">
        <v>2</v>
      </c>
      <c r="G5690" s="2"/>
    </row>
    <row r="5691" spans="1:26" customHeight="1" ht="35" hidden="true" outlineLevel="4">
      <c r="A5691" s="5" t="s">
        <v>10783</v>
      </c>
      <c r="B5691" s="5"/>
      <c r="C5691" s="5"/>
      <c r="D5691" s="5"/>
      <c r="E5691" s="5"/>
      <c r="F5691" s="5"/>
      <c r="G5691" s="5"/>
    </row>
    <row r="5692" spans="1:26" customHeight="1" ht="36" hidden="true" outlineLevel="4">
      <c r="A5692" s="2" t="s">
        <v>10784</v>
      </c>
      <c r="B5692" s="3" t="s">
        <v>10785</v>
      </c>
      <c r="C5692" s="2"/>
      <c r="D5692" s="2" t="s">
        <v>16</v>
      </c>
      <c r="E5692" s="4">
        <f>207.66*(1-Z1%)</f>
        <v>207.66</v>
      </c>
      <c r="F5692" s="2">
        <v>6</v>
      </c>
      <c r="G5692" s="2"/>
    </row>
    <row r="5693" spans="1:26" customHeight="1" ht="36" hidden="true" outlineLevel="4">
      <c r="A5693" s="2" t="s">
        <v>10786</v>
      </c>
      <c r="B5693" s="3" t="s">
        <v>10787</v>
      </c>
      <c r="C5693" s="2"/>
      <c r="D5693" s="2" t="s">
        <v>16</v>
      </c>
      <c r="E5693" s="4">
        <f>235.35*(1-Z1%)</f>
        <v>235.35</v>
      </c>
      <c r="F5693" s="2">
        <v>4</v>
      </c>
      <c r="G5693" s="2"/>
    </row>
    <row r="5694" spans="1:26" customHeight="1" ht="36" hidden="true" outlineLevel="4">
      <c r="A5694" s="2" t="s">
        <v>10788</v>
      </c>
      <c r="B5694" s="3" t="s">
        <v>10789</v>
      </c>
      <c r="C5694" s="2"/>
      <c r="D5694" s="2" t="s">
        <v>16</v>
      </c>
      <c r="E5694" s="4">
        <f>347.48*(1-Z1%)</f>
        <v>347.48</v>
      </c>
      <c r="F5694" s="2">
        <v>8</v>
      </c>
      <c r="G5694" s="2"/>
    </row>
    <row r="5695" spans="1:26" customHeight="1" ht="35" hidden="true" outlineLevel="4">
      <c r="A5695" s="5" t="s">
        <v>10790</v>
      </c>
      <c r="B5695" s="5"/>
      <c r="C5695" s="5"/>
      <c r="D5695" s="5"/>
      <c r="E5695" s="5"/>
      <c r="F5695" s="5"/>
      <c r="G5695" s="5"/>
    </row>
    <row r="5696" spans="1:26" customHeight="1" ht="36" hidden="true" outlineLevel="4">
      <c r="A5696" s="2" t="s">
        <v>10791</v>
      </c>
      <c r="B5696" s="3" t="s">
        <v>10792</v>
      </c>
      <c r="C5696" s="2"/>
      <c r="D5696" s="2" t="s">
        <v>16</v>
      </c>
      <c r="E5696" s="4">
        <f>207.66*(1-Z1%)</f>
        <v>207.66</v>
      </c>
      <c r="F5696" s="2">
        <v>8</v>
      </c>
      <c r="G5696" s="2"/>
    </row>
    <row r="5697" spans="1:26" customHeight="1" ht="36" hidden="true" outlineLevel="4">
      <c r="A5697" s="2" t="s">
        <v>10793</v>
      </c>
      <c r="B5697" s="3" t="s">
        <v>10794</v>
      </c>
      <c r="C5697" s="2"/>
      <c r="D5697" s="2" t="s">
        <v>16</v>
      </c>
      <c r="E5697" s="4">
        <f>235.35*(1-Z1%)</f>
        <v>235.35</v>
      </c>
      <c r="F5697" s="2">
        <v>8</v>
      </c>
      <c r="G5697" s="2"/>
    </row>
    <row r="5698" spans="1:26" customHeight="1" ht="35" hidden="true" outlineLevel="3">
      <c r="A5698" s="5" t="s">
        <v>10795</v>
      </c>
      <c r="B5698" s="5"/>
      <c r="C5698" s="5"/>
      <c r="D5698" s="5"/>
      <c r="E5698" s="5"/>
      <c r="F5698" s="5"/>
      <c r="G5698" s="5"/>
    </row>
    <row r="5699" spans="1:26" customHeight="1" ht="36" hidden="true" outlineLevel="3">
      <c r="A5699" s="2" t="s">
        <v>10796</v>
      </c>
      <c r="B5699" s="3" t="s">
        <v>10797</v>
      </c>
      <c r="C5699" s="2"/>
      <c r="D5699" s="2" t="s">
        <v>16</v>
      </c>
      <c r="E5699" s="4">
        <f>52.53*(1-Z1%)</f>
        <v>52.53</v>
      </c>
      <c r="F5699" s="2">
        <v>13</v>
      </c>
      <c r="G5699" s="2"/>
    </row>
    <row r="5700" spans="1:26" customHeight="1" ht="36" hidden="true" outlineLevel="3">
      <c r="A5700" s="2" t="s">
        <v>10798</v>
      </c>
      <c r="B5700" s="3" t="s">
        <v>10799</v>
      </c>
      <c r="C5700" s="2"/>
      <c r="D5700" s="2" t="s">
        <v>16</v>
      </c>
      <c r="E5700" s="4">
        <f>369.68*(1-Z1%)</f>
        <v>369.68</v>
      </c>
      <c r="F5700" s="2">
        <v>3</v>
      </c>
      <c r="G5700" s="2"/>
    </row>
    <row r="5701" spans="1:26" customHeight="1" ht="36" hidden="true" outlineLevel="3">
      <c r="A5701" s="2" t="s">
        <v>10800</v>
      </c>
      <c r="B5701" s="3" t="s">
        <v>10801</v>
      </c>
      <c r="C5701" s="2"/>
      <c r="D5701" s="2" t="s">
        <v>16</v>
      </c>
      <c r="E5701" s="4">
        <f>369.68*(1-Z1%)</f>
        <v>369.68</v>
      </c>
      <c r="F5701" s="2">
        <v>1</v>
      </c>
      <c r="G5701" s="2"/>
    </row>
    <row r="5702" spans="1:26" customHeight="1" ht="36" hidden="true" outlineLevel="3">
      <c r="A5702" s="2" t="s">
        <v>10802</v>
      </c>
      <c r="B5702" s="3" t="s">
        <v>10803</v>
      </c>
      <c r="C5702" s="2"/>
      <c r="D5702" s="2" t="s">
        <v>16</v>
      </c>
      <c r="E5702" s="4">
        <f>390.79*(1-Z1%)</f>
        <v>390.79</v>
      </c>
      <c r="F5702" s="2">
        <v>1</v>
      </c>
      <c r="G5702" s="2"/>
    </row>
    <row r="5703" spans="1:26" customHeight="1" ht="36" hidden="true" outlineLevel="3">
      <c r="A5703" s="2" t="s">
        <v>10804</v>
      </c>
      <c r="B5703" s="3" t="s">
        <v>10805</v>
      </c>
      <c r="C5703" s="2"/>
      <c r="D5703" s="2" t="s">
        <v>16</v>
      </c>
      <c r="E5703" s="4">
        <f>390.79*(1-Z1%)</f>
        <v>390.79</v>
      </c>
      <c r="F5703" s="2">
        <v>1</v>
      </c>
      <c r="G5703" s="2"/>
    </row>
    <row r="5704" spans="1:26" customHeight="1" ht="36" hidden="true" outlineLevel="3">
      <c r="A5704" s="2" t="s">
        <v>10806</v>
      </c>
      <c r="B5704" s="3" t="s">
        <v>10807</v>
      </c>
      <c r="C5704" s="2"/>
      <c r="D5704" s="2" t="s">
        <v>16</v>
      </c>
      <c r="E5704" s="4">
        <f>425.37*(1-Z1%)</f>
        <v>425.37</v>
      </c>
      <c r="F5704" s="2">
        <v>3</v>
      </c>
      <c r="G5704" s="2"/>
    </row>
    <row r="5705" spans="1:26" customHeight="1" ht="36" hidden="true" outlineLevel="3">
      <c r="A5705" s="2" t="s">
        <v>10808</v>
      </c>
      <c r="B5705" s="3" t="s">
        <v>10809</v>
      </c>
      <c r="C5705" s="2"/>
      <c r="D5705" s="2" t="s">
        <v>16</v>
      </c>
      <c r="E5705" s="4">
        <f>568.51*(1-Z1%)</f>
        <v>568.51</v>
      </c>
      <c r="F5705" s="2">
        <v>3</v>
      </c>
      <c r="G5705" s="2"/>
    </row>
    <row r="5706" spans="1:26" customHeight="1" ht="36" hidden="true" outlineLevel="3">
      <c r="A5706" s="2" t="s">
        <v>10810</v>
      </c>
      <c r="B5706" s="3" t="s">
        <v>10811</v>
      </c>
      <c r="C5706" s="2"/>
      <c r="D5706" s="2" t="s">
        <v>16</v>
      </c>
      <c r="E5706" s="4">
        <f>566.92*(1-Z1%)</f>
        <v>566.92</v>
      </c>
      <c r="F5706" s="2">
        <v>2</v>
      </c>
      <c r="G5706" s="2"/>
    </row>
    <row r="5707" spans="1:26" customHeight="1" ht="36" hidden="true" outlineLevel="3">
      <c r="A5707" s="2" t="s">
        <v>10812</v>
      </c>
      <c r="B5707" s="3" t="s">
        <v>10813</v>
      </c>
      <c r="C5707" s="2"/>
      <c r="D5707" s="2" t="s">
        <v>16</v>
      </c>
      <c r="E5707" s="4">
        <f>194.10*(1-Z1%)</f>
        <v>194.1</v>
      </c>
      <c r="F5707" s="2">
        <v>14</v>
      </c>
      <c r="G5707" s="2"/>
    </row>
    <row r="5708" spans="1:26" customHeight="1" ht="36" hidden="true" outlineLevel="3">
      <c r="A5708" s="2" t="s">
        <v>10814</v>
      </c>
      <c r="B5708" s="3" t="s">
        <v>10815</v>
      </c>
      <c r="C5708" s="2"/>
      <c r="D5708" s="2" t="s">
        <v>16</v>
      </c>
      <c r="E5708" s="4">
        <f>192.30*(1-Z1%)</f>
        <v>192.3</v>
      </c>
      <c r="F5708" s="2">
        <v>4</v>
      </c>
      <c r="G5708" s="2"/>
    </row>
    <row r="5709" spans="1:26" customHeight="1" ht="36" hidden="true" outlineLevel="3">
      <c r="A5709" s="2" t="s">
        <v>10816</v>
      </c>
      <c r="B5709" s="3" t="s">
        <v>10817</v>
      </c>
      <c r="C5709" s="2"/>
      <c r="D5709" s="2" t="s">
        <v>16</v>
      </c>
      <c r="E5709" s="4">
        <f>194.10*(1-Z1%)</f>
        <v>194.1</v>
      </c>
      <c r="F5709" s="2">
        <v>20</v>
      </c>
      <c r="G5709" s="2"/>
    </row>
    <row r="5710" spans="1:26" customHeight="1" ht="36" hidden="true" outlineLevel="3">
      <c r="A5710" s="2" t="s">
        <v>10818</v>
      </c>
      <c r="B5710" s="3" t="s">
        <v>10819</v>
      </c>
      <c r="C5710" s="2"/>
      <c r="D5710" s="2" t="s">
        <v>16</v>
      </c>
      <c r="E5710" s="4">
        <f>179.49*(1-Z1%)</f>
        <v>179.49</v>
      </c>
      <c r="F5710" s="2">
        <v>3</v>
      </c>
      <c r="G5710" s="2"/>
    </row>
    <row r="5711" spans="1:26" customHeight="1" ht="36" hidden="true" outlineLevel="3">
      <c r="A5711" s="2" t="s">
        <v>10820</v>
      </c>
      <c r="B5711" s="3" t="s">
        <v>10821</v>
      </c>
      <c r="C5711" s="2"/>
      <c r="D5711" s="2" t="s">
        <v>16</v>
      </c>
      <c r="E5711" s="4">
        <f>433.35*(1-Z1%)</f>
        <v>433.35</v>
      </c>
      <c r="F5711" s="2">
        <v>1</v>
      </c>
      <c r="G5711" s="2"/>
    </row>
    <row r="5712" spans="1:26" customHeight="1" ht="36" hidden="true" outlineLevel="3">
      <c r="A5712" s="2" t="s">
        <v>10822</v>
      </c>
      <c r="B5712" s="3" t="s">
        <v>10823</v>
      </c>
      <c r="C5712" s="2"/>
      <c r="D5712" s="2" t="s">
        <v>16</v>
      </c>
      <c r="E5712" s="4">
        <f>878.85*(1-Z1%)</f>
        <v>878.85</v>
      </c>
      <c r="F5712" s="2">
        <v>2</v>
      </c>
      <c r="G5712" s="2"/>
    </row>
    <row r="5713" spans="1:26" customHeight="1" ht="36" hidden="true" outlineLevel="3">
      <c r="A5713" s="2" t="s">
        <v>10824</v>
      </c>
      <c r="B5713" s="3" t="s">
        <v>10825</v>
      </c>
      <c r="C5713" s="2"/>
      <c r="D5713" s="2" t="s">
        <v>16</v>
      </c>
      <c r="E5713" s="4">
        <f>85.15*(1-Z1%)</f>
        <v>85.15</v>
      </c>
      <c r="F5713" s="2">
        <v>48</v>
      </c>
      <c r="G5713" s="2"/>
    </row>
    <row r="5714" spans="1:26" customHeight="1" ht="36" hidden="true" outlineLevel="3">
      <c r="A5714" s="2" t="s">
        <v>10826</v>
      </c>
      <c r="B5714" s="3" t="s">
        <v>10827</v>
      </c>
      <c r="C5714" s="2"/>
      <c r="D5714" s="2" t="s">
        <v>16</v>
      </c>
      <c r="E5714" s="4">
        <f>102.70*(1-Z1%)</f>
        <v>102.7</v>
      </c>
      <c r="F5714" s="2">
        <v>44</v>
      </c>
      <c r="G5714" s="2"/>
    </row>
    <row r="5715" spans="1:26" customHeight="1" ht="18" hidden="true" outlineLevel="3">
      <c r="A5715" s="2" t="s">
        <v>10828</v>
      </c>
      <c r="B5715" s="3" t="s">
        <v>10829</v>
      </c>
      <c r="C5715" s="2"/>
      <c r="D5715" s="2" t="s">
        <v>16</v>
      </c>
      <c r="E5715" s="4">
        <f>300.04*(1-Z1%)</f>
        <v>300.04</v>
      </c>
      <c r="F5715" s="2">
        <v>2</v>
      </c>
      <c r="G5715" s="2"/>
    </row>
    <row r="5716" spans="1:26" customHeight="1" ht="18" hidden="true" outlineLevel="3">
      <c r="A5716" s="2" t="s">
        <v>10830</v>
      </c>
      <c r="B5716" s="3" t="s">
        <v>10831</v>
      </c>
      <c r="C5716" s="2"/>
      <c r="D5716" s="2" t="s">
        <v>16</v>
      </c>
      <c r="E5716" s="4">
        <f>303.66*(1-Z1%)</f>
        <v>303.66</v>
      </c>
      <c r="F5716" s="2">
        <v>2</v>
      </c>
      <c r="G5716" s="2"/>
    </row>
    <row r="5717" spans="1:26" customHeight="1" ht="36" hidden="true" outlineLevel="3">
      <c r="A5717" s="2" t="s">
        <v>10832</v>
      </c>
      <c r="B5717" s="3" t="s">
        <v>10833</v>
      </c>
      <c r="C5717" s="2"/>
      <c r="D5717" s="2" t="s">
        <v>16</v>
      </c>
      <c r="E5717" s="4">
        <f>270.85*(1-Z1%)</f>
        <v>270.85</v>
      </c>
      <c r="F5717" s="2">
        <v>15</v>
      </c>
      <c r="G5717" s="2"/>
    </row>
    <row r="5718" spans="1:26" customHeight="1" ht="36" hidden="true" outlineLevel="3">
      <c r="A5718" s="2" t="s">
        <v>10834</v>
      </c>
      <c r="B5718" s="3" t="s">
        <v>10835</v>
      </c>
      <c r="C5718" s="2"/>
      <c r="D5718" s="2" t="s">
        <v>16</v>
      </c>
      <c r="E5718" s="4">
        <f>687.74*(1-Z1%)</f>
        <v>687.74</v>
      </c>
      <c r="F5718" s="2">
        <v>7</v>
      </c>
      <c r="G5718" s="2"/>
    </row>
    <row r="5719" spans="1:26" customHeight="1" ht="18" hidden="true" outlineLevel="3">
      <c r="A5719" s="2" t="s">
        <v>10836</v>
      </c>
      <c r="B5719" s="3" t="s">
        <v>10837</v>
      </c>
      <c r="C5719" s="2"/>
      <c r="D5719" s="2" t="s">
        <v>16</v>
      </c>
      <c r="E5719" s="4">
        <f>347.35*(1-Z1%)</f>
        <v>347.35</v>
      </c>
      <c r="F5719" s="2">
        <v>11</v>
      </c>
      <c r="G5719" s="2"/>
    </row>
    <row r="5720" spans="1:26" customHeight="1" ht="36" hidden="true" outlineLevel="3">
      <c r="A5720" s="2" t="s">
        <v>10838</v>
      </c>
      <c r="B5720" s="3" t="s">
        <v>10839</v>
      </c>
      <c r="C5720" s="2"/>
      <c r="D5720" s="2" t="s">
        <v>16</v>
      </c>
      <c r="E5720" s="4">
        <f>840.89*(1-Z1%)</f>
        <v>840.89</v>
      </c>
      <c r="F5720" s="2">
        <v>8</v>
      </c>
      <c r="G5720" s="2"/>
    </row>
    <row r="5721" spans="1:26" customHeight="1" ht="18" hidden="true" outlineLevel="3">
      <c r="A5721" s="2" t="s">
        <v>10840</v>
      </c>
      <c r="B5721" s="3" t="s">
        <v>10841</v>
      </c>
      <c r="C5721" s="2"/>
      <c r="D5721" s="2" t="s">
        <v>16</v>
      </c>
      <c r="E5721" s="4">
        <f>417.35*(1-Z1%)</f>
        <v>417.35</v>
      </c>
      <c r="F5721" s="2">
        <v>3</v>
      </c>
      <c r="G5721" s="2"/>
    </row>
    <row r="5722" spans="1:26" customHeight="1" ht="18" hidden="true" outlineLevel="3">
      <c r="A5722" s="2" t="s">
        <v>10842</v>
      </c>
      <c r="B5722" s="3" t="s">
        <v>10843</v>
      </c>
      <c r="C5722" s="2"/>
      <c r="D5722" s="2" t="s">
        <v>16</v>
      </c>
      <c r="E5722" s="4">
        <f>570.18*(1-Z1%)</f>
        <v>570.18</v>
      </c>
      <c r="F5722" s="2">
        <v>6</v>
      </c>
      <c r="G5722" s="2"/>
    </row>
    <row r="5723" spans="1:26" customHeight="1" ht="18" hidden="true" outlineLevel="3">
      <c r="A5723" s="2" t="s">
        <v>10844</v>
      </c>
      <c r="B5723" s="3" t="s">
        <v>10845</v>
      </c>
      <c r="C5723" s="2"/>
      <c r="D5723" s="2" t="s">
        <v>16</v>
      </c>
      <c r="E5723" s="4">
        <f>252.76*(1-Z1%)</f>
        <v>252.76</v>
      </c>
      <c r="F5723" s="2">
        <v>8</v>
      </c>
      <c r="G5723" s="2"/>
    </row>
    <row r="5724" spans="1:26" customHeight="1" ht="18" hidden="true" outlineLevel="3">
      <c r="A5724" s="2" t="s">
        <v>10846</v>
      </c>
      <c r="B5724" s="3" t="s">
        <v>10847</v>
      </c>
      <c r="C5724" s="2"/>
      <c r="D5724" s="2" t="s">
        <v>16</v>
      </c>
      <c r="E5724" s="4">
        <f>252.76*(1-Z1%)</f>
        <v>252.76</v>
      </c>
      <c r="F5724" s="2">
        <v>8</v>
      </c>
      <c r="G5724" s="2"/>
    </row>
    <row r="5725" spans="1:26" customHeight="1" ht="18" hidden="true" outlineLevel="3">
      <c r="A5725" s="2" t="s">
        <v>10848</v>
      </c>
      <c r="B5725" s="3" t="s">
        <v>10849</v>
      </c>
      <c r="C5725" s="2"/>
      <c r="D5725" s="2" t="s">
        <v>16</v>
      </c>
      <c r="E5725" s="4">
        <f>534.91*(1-Z1%)</f>
        <v>534.91</v>
      </c>
      <c r="F5725" s="2">
        <v>12</v>
      </c>
      <c r="G5725" s="2"/>
    </row>
    <row r="5726" spans="1:26" customHeight="1" ht="36" hidden="true" outlineLevel="3">
      <c r="A5726" s="2" t="s">
        <v>10850</v>
      </c>
      <c r="B5726" s="3" t="s">
        <v>10851</v>
      </c>
      <c r="C5726" s="2"/>
      <c r="D5726" s="2" t="s">
        <v>16</v>
      </c>
      <c r="E5726" s="4">
        <f>264.52*(1-Z1%)</f>
        <v>264.52</v>
      </c>
      <c r="F5726" s="2">
        <v>6</v>
      </c>
      <c r="G5726" s="2"/>
    </row>
    <row r="5727" spans="1:26" customHeight="1" ht="18" hidden="true" outlineLevel="3">
      <c r="A5727" s="2" t="s">
        <v>10852</v>
      </c>
      <c r="B5727" s="3" t="s">
        <v>10853</v>
      </c>
      <c r="C5727" s="2"/>
      <c r="D5727" s="2" t="s">
        <v>16</v>
      </c>
      <c r="E5727" s="4">
        <f>299.78*(1-Z1%)</f>
        <v>299.78</v>
      </c>
      <c r="F5727" s="2">
        <v>7</v>
      </c>
      <c r="G5727" s="2"/>
    </row>
    <row r="5728" spans="1:26" customHeight="1" ht="36" hidden="true" outlineLevel="3">
      <c r="A5728" s="2" t="s">
        <v>10854</v>
      </c>
      <c r="B5728" s="3" t="s">
        <v>10855</v>
      </c>
      <c r="C5728" s="2"/>
      <c r="D5728" s="2" t="s">
        <v>16</v>
      </c>
      <c r="E5728" s="4">
        <f>77.57*(1-Z1%)</f>
        <v>77.57</v>
      </c>
      <c r="F5728" s="2">
        <v>4</v>
      </c>
      <c r="G5728" s="2"/>
    </row>
    <row r="5729" spans="1:26" customHeight="1" ht="35" hidden="true" outlineLevel="3">
      <c r="A5729" s="5" t="s">
        <v>10856</v>
      </c>
      <c r="B5729" s="5"/>
      <c r="C5729" s="5"/>
      <c r="D5729" s="5"/>
      <c r="E5729" s="5"/>
      <c r="F5729" s="5"/>
      <c r="G5729" s="5"/>
    </row>
    <row r="5730" spans="1:26" customHeight="1" ht="36" hidden="true" outlineLevel="3">
      <c r="A5730" s="2" t="s">
        <v>10857</v>
      </c>
      <c r="B5730" s="3" t="s">
        <v>10858</v>
      </c>
      <c r="C5730" s="2"/>
      <c r="D5730" s="2" t="s">
        <v>16</v>
      </c>
      <c r="E5730" s="4">
        <f>88.61*(1-Z1%)</f>
        <v>88.61</v>
      </c>
      <c r="F5730" s="2">
        <v>8</v>
      </c>
      <c r="G5730" s="2"/>
    </row>
    <row r="5731" spans="1:26" customHeight="1" ht="36" hidden="true" outlineLevel="3">
      <c r="A5731" s="2" t="s">
        <v>10859</v>
      </c>
      <c r="B5731" s="3" t="s">
        <v>10860</v>
      </c>
      <c r="C5731" s="2"/>
      <c r="D5731" s="2" t="s">
        <v>16</v>
      </c>
      <c r="E5731" s="4">
        <f>121.82*(1-Z1%)</f>
        <v>121.82</v>
      </c>
      <c r="F5731" s="2">
        <v>8</v>
      </c>
      <c r="G5731" s="2"/>
    </row>
    <row r="5732" spans="1:26" customHeight="1" ht="36" hidden="true" outlineLevel="3">
      <c r="A5732" s="2" t="s">
        <v>10861</v>
      </c>
      <c r="B5732" s="3" t="s">
        <v>10862</v>
      </c>
      <c r="C5732" s="2"/>
      <c r="D5732" s="2" t="s">
        <v>16</v>
      </c>
      <c r="E5732" s="4">
        <f>116.28*(1-Z1%)</f>
        <v>116.28</v>
      </c>
      <c r="F5732" s="2">
        <v>4</v>
      </c>
      <c r="G5732" s="2"/>
    </row>
    <row r="5733" spans="1:26" customHeight="1" ht="36" hidden="true" outlineLevel="3">
      <c r="A5733" s="2" t="s">
        <v>10863</v>
      </c>
      <c r="B5733" s="3" t="s">
        <v>10864</v>
      </c>
      <c r="C5733" s="2"/>
      <c r="D5733" s="2" t="s">
        <v>16</v>
      </c>
      <c r="E5733" s="4">
        <f>159.19*(1-Z1%)</f>
        <v>159.19</v>
      </c>
      <c r="F5733" s="2">
        <v>8</v>
      </c>
      <c r="G5733" s="2"/>
    </row>
    <row r="5734" spans="1:26" customHeight="1" ht="35" hidden="true" outlineLevel="3">
      <c r="A5734" s="5" t="s">
        <v>10865</v>
      </c>
      <c r="B5734" s="5"/>
      <c r="C5734" s="5"/>
      <c r="D5734" s="5"/>
      <c r="E5734" s="5"/>
      <c r="F5734" s="5"/>
      <c r="G5734" s="5"/>
    </row>
    <row r="5735" spans="1:26" customHeight="1" ht="36" hidden="true" outlineLevel="3">
      <c r="A5735" s="2" t="s">
        <v>10866</v>
      </c>
      <c r="B5735" s="3" t="s">
        <v>10867</v>
      </c>
      <c r="C5735" s="2"/>
      <c r="D5735" s="2" t="s">
        <v>16</v>
      </c>
      <c r="E5735" s="4">
        <f>121.67*(1-Z1%)</f>
        <v>121.67</v>
      </c>
      <c r="F5735" s="2">
        <v>4</v>
      </c>
      <c r="G5735" s="2"/>
    </row>
    <row r="5736" spans="1:26" customHeight="1" ht="35" hidden="true" outlineLevel="3">
      <c r="A5736" s="5" t="s">
        <v>10868</v>
      </c>
      <c r="B5736" s="5"/>
      <c r="C5736" s="5"/>
      <c r="D5736" s="5"/>
      <c r="E5736" s="5"/>
      <c r="F5736" s="5"/>
      <c r="G5736" s="5"/>
    </row>
    <row r="5737" spans="1:26" customHeight="1" ht="36" hidden="true" outlineLevel="3">
      <c r="A5737" s="2" t="s">
        <v>10869</v>
      </c>
      <c r="B5737" s="3" t="s">
        <v>10870</v>
      </c>
      <c r="C5737" s="2"/>
      <c r="D5737" s="2" t="s">
        <v>16</v>
      </c>
      <c r="E5737" s="4">
        <f>844.61*(1-Z1%)</f>
        <v>844.61</v>
      </c>
      <c r="F5737" s="2">
        <v>1</v>
      </c>
      <c r="G5737" s="2"/>
    </row>
    <row r="5738" spans="1:26" customHeight="1" ht="36" hidden="true" outlineLevel="3">
      <c r="A5738" s="2" t="s">
        <v>10871</v>
      </c>
      <c r="B5738" s="3" t="s">
        <v>10872</v>
      </c>
      <c r="C5738" s="2"/>
      <c r="D5738" s="2" t="s">
        <v>16</v>
      </c>
      <c r="E5738" s="4">
        <f>211.65*(1-Z1%)</f>
        <v>211.65</v>
      </c>
      <c r="F5738" s="2">
        <v>6</v>
      </c>
      <c r="G5738" s="2"/>
    </row>
    <row r="5739" spans="1:26" customHeight="1" ht="36" hidden="true" outlineLevel="3">
      <c r="A5739" s="2" t="s">
        <v>10873</v>
      </c>
      <c r="B5739" s="3" t="s">
        <v>10874</v>
      </c>
      <c r="C5739" s="2"/>
      <c r="D5739" s="2" t="s">
        <v>16</v>
      </c>
      <c r="E5739" s="4">
        <f>411.57*(1-Z1%)</f>
        <v>411.57</v>
      </c>
      <c r="F5739" s="2">
        <v>5</v>
      </c>
      <c r="G5739" s="2"/>
    </row>
    <row r="5740" spans="1:26" customHeight="1" ht="36" hidden="true" outlineLevel="3">
      <c r="A5740" s="2" t="s">
        <v>10875</v>
      </c>
      <c r="B5740" s="3" t="s">
        <v>10876</v>
      </c>
      <c r="C5740" s="2"/>
      <c r="D5740" s="2" t="s">
        <v>16</v>
      </c>
      <c r="E5740" s="4">
        <f>902.82*(1-Z1%)</f>
        <v>902.82</v>
      </c>
      <c r="F5740" s="2">
        <v>3</v>
      </c>
      <c r="G5740" s="2"/>
    </row>
    <row r="5741" spans="1:26" customHeight="1" ht="36" hidden="true" outlineLevel="3">
      <c r="A5741" s="2" t="s">
        <v>10877</v>
      </c>
      <c r="B5741" s="3" t="s">
        <v>10878</v>
      </c>
      <c r="C5741" s="2"/>
      <c r="D5741" s="2" t="s">
        <v>16</v>
      </c>
      <c r="E5741" s="4">
        <f>909.13*(1-Z1%)</f>
        <v>909.13</v>
      </c>
      <c r="F5741" s="2">
        <v>1</v>
      </c>
      <c r="G5741" s="2"/>
    </row>
    <row r="5742" spans="1:26" customHeight="1" ht="36" hidden="true" outlineLevel="3">
      <c r="A5742" s="2" t="s">
        <v>10879</v>
      </c>
      <c r="B5742" s="3" t="s">
        <v>10880</v>
      </c>
      <c r="C5742" s="2"/>
      <c r="D5742" s="2" t="s">
        <v>16</v>
      </c>
      <c r="E5742" s="4">
        <f>839.55*(1-Z1%)</f>
        <v>839.55</v>
      </c>
      <c r="F5742" s="2">
        <v>1</v>
      </c>
      <c r="G5742" s="2"/>
    </row>
    <row r="5743" spans="1:26" customHeight="1" ht="36" hidden="true" outlineLevel="3">
      <c r="A5743" s="2" t="s">
        <v>10881</v>
      </c>
      <c r="B5743" s="3" t="s">
        <v>10882</v>
      </c>
      <c r="C5743" s="2"/>
      <c r="D5743" s="2" t="s">
        <v>16</v>
      </c>
      <c r="E5743" s="4">
        <f>883.02*(1-Z1%)</f>
        <v>883.02</v>
      </c>
      <c r="F5743" s="2">
        <v>1</v>
      </c>
      <c r="G5743" s="2"/>
    </row>
    <row r="5744" spans="1:26" customHeight="1" ht="36" hidden="true" outlineLevel="3">
      <c r="A5744" s="2" t="s">
        <v>10883</v>
      </c>
      <c r="B5744" s="3" t="s">
        <v>10884</v>
      </c>
      <c r="C5744" s="2"/>
      <c r="D5744" s="2" t="s">
        <v>16</v>
      </c>
      <c r="E5744" s="4">
        <f>883.04*(1-Z1%)</f>
        <v>883.04</v>
      </c>
      <c r="F5744" s="2">
        <v>1</v>
      </c>
      <c r="G5744" s="2"/>
    </row>
    <row r="5745" spans="1:26" customHeight="1" ht="36" hidden="true" outlineLevel="3">
      <c r="A5745" s="2" t="s">
        <v>10885</v>
      </c>
      <c r="B5745" s="3" t="s">
        <v>10886</v>
      </c>
      <c r="C5745" s="2"/>
      <c r="D5745" s="2" t="s">
        <v>16</v>
      </c>
      <c r="E5745" s="4">
        <f>883.02*(1-Z1%)</f>
        <v>883.02</v>
      </c>
      <c r="F5745" s="2">
        <v>1</v>
      </c>
      <c r="G5745" s="2"/>
    </row>
    <row r="5746" spans="1:26" customHeight="1" ht="36" hidden="true" outlineLevel="3">
      <c r="A5746" s="2" t="s">
        <v>10887</v>
      </c>
      <c r="B5746" s="3" t="s">
        <v>10888</v>
      </c>
      <c r="C5746" s="2"/>
      <c r="D5746" s="2" t="s">
        <v>16</v>
      </c>
      <c r="E5746" s="4">
        <f>315.99*(1-Z1%)</f>
        <v>315.99</v>
      </c>
      <c r="F5746" s="2">
        <v>3</v>
      </c>
      <c r="G5746" s="2"/>
    </row>
    <row r="5747" spans="1:26" customHeight="1" ht="36" hidden="true" outlineLevel="3">
      <c r="A5747" s="2" t="s">
        <v>10889</v>
      </c>
      <c r="B5747" s="3" t="s">
        <v>10890</v>
      </c>
      <c r="C5747" s="2"/>
      <c r="D5747" s="2" t="s">
        <v>16</v>
      </c>
      <c r="E5747" s="4">
        <f>315.99*(1-Z1%)</f>
        <v>315.99</v>
      </c>
      <c r="F5747" s="2">
        <v>3</v>
      </c>
      <c r="G5747" s="2"/>
    </row>
    <row r="5748" spans="1:26" customHeight="1" ht="36" hidden="true" outlineLevel="3">
      <c r="A5748" s="2" t="s">
        <v>10891</v>
      </c>
      <c r="B5748" s="3" t="s">
        <v>10892</v>
      </c>
      <c r="C5748" s="2"/>
      <c r="D5748" s="2" t="s">
        <v>16</v>
      </c>
      <c r="E5748" s="4">
        <f>929.90*(1-Z1%)</f>
        <v>929.9</v>
      </c>
      <c r="F5748" s="2">
        <v>2</v>
      </c>
      <c r="G5748" s="2"/>
    </row>
    <row r="5749" spans="1:26" customHeight="1" ht="36" hidden="true" outlineLevel="3">
      <c r="A5749" s="2" t="s">
        <v>10893</v>
      </c>
      <c r="B5749" s="3" t="s">
        <v>10894</v>
      </c>
      <c r="C5749" s="2"/>
      <c r="D5749" s="2" t="s">
        <v>16</v>
      </c>
      <c r="E5749" s="4">
        <f>306.95*(1-Z1%)</f>
        <v>306.95</v>
      </c>
      <c r="F5749" s="2">
        <v>2</v>
      </c>
      <c r="G5749" s="2"/>
    </row>
    <row r="5750" spans="1:26" customHeight="1" ht="36" hidden="true" outlineLevel="3">
      <c r="A5750" s="2" t="s">
        <v>10895</v>
      </c>
      <c r="B5750" s="3" t="s">
        <v>10896</v>
      </c>
      <c r="C5750" s="2"/>
      <c r="D5750" s="2" t="s">
        <v>16</v>
      </c>
      <c r="E5750" s="4">
        <f>317.78*(1-Z1%)</f>
        <v>317.78</v>
      </c>
      <c r="F5750" s="2">
        <v>5</v>
      </c>
      <c r="G5750" s="2"/>
    </row>
    <row r="5751" spans="1:26" customHeight="1" ht="36" hidden="true" outlineLevel="3">
      <c r="A5751" s="2" t="s">
        <v>10897</v>
      </c>
      <c r="B5751" s="3" t="s">
        <v>10898</v>
      </c>
      <c r="C5751" s="2"/>
      <c r="D5751" s="2" t="s">
        <v>16</v>
      </c>
      <c r="E5751" s="4">
        <f>306.95*(1-Z1%)</f>
        <v>306.95</v>
      </c>
      <c r="F5751" s="2">
        <v>1</v>
      </c>
      <c r="G5751" s="2"/>
    </row>
    <row r="5752" spans="1:26" customHeight="1" ht="36" hidden="true" outlineLevel="3">
      <c r="A5752" s="2" t="s">
        <v>10899</v>
      </c>
      <c r="B5752" s="3" t="s">
        <v>10900</v>
      </c>
      <c r="C5752" s="2"/>
      <c r="D5752" s="2" t="s">
        <v>16</v>
      </c>
      <c r="E5752" s="4">
        <f>306.95*(1-Z1%)</f>
        <v>306.95</v>
      </c>
      <c r="F5752" s="2">
        <v>2</v>
      </c>
      <c r="G5752" s="2"/>
    </row>
    <row r="5753" spans="1:26" customHeight="1" ht="36" hidden="true" outlineLevel="3">
      <c r="A5753" s="2" t="s">
        <v>10901</v>
      </c>
      <c r="B5753" s="3" t="s">
        <v>10902</v>
      </c>
      <c r="C5753" s="2"/>
      <c r="D5753" s="2" t="s">
        <v>16</v>
      </c>
      <c r="E5753" s="4">
        <f>275.92*(1-Z1%)</f>
        <v>275.92</v>
      </c>
      <c r="F5753" s="2">
        <v>2</v>
      </c>
      <c r="G5753" s="2"/>
    </row>
    <row r="5754" spans="1:26" customHeight="1" ht="18" hidden="true" outlineLevel="3">
      <c r="A5754" s="2" t="s">
        <v>10903</v>
      </c>
      <c r="B5754" s="3" t="s">
        <v>10904</v>
      </c>
      <c r="C5754" s="2"/>
      <c r="D5754" s="2" t="s">
        <v>16</v>
      </c>
      <c r="E5754" s="4">
        <f>759.62*(1-Z1%)</f>
        <v>759.62</v>
      </c>
      <c r="F5754" s="2">
        <v>6</v>
      </c>
      <c r="G5754" s="2"/>
    </row>
    <row r="5755" spans="1:26" customHeight="1" ht="35" hidden="true" outlineLevel="3">
      <c r="A5755" s="5" t="s">
        <v>10905</v>
      </c>
      <c r="B5755" s="5"/>
      <c r="C5755" s="5"/>
      <c r="D5755" s="5"/>
      <c r="E5755" s="5"/>
      <c r="F5755" s="5"/>
      <c r="G5755" s="5"/>
    </row>
    <row r="5756" spans="1:26" customHeight="1" ht="36" hidden="true" outlineLevel="3">
      <c r="A5756" s="2" t="s">
        <v>10906</v>
      </c>
      <c r="B5756" s="3" t="s">
        <v>10907</v>
      </c>
      <c r="C5756" s="2"/>
      <c r="D5756" s="2" t="s">
        <v>16</v>
      </c>
      <c r="E5756" s="4">
        <f>297.94*(1-Z1%)</f>
        <v>297.94</v>
      </c>
      <c r="F5756" s="2">
        <v>3</v>
      </c>
      <c r="G5756" s="2"/>
    </row>
    <row r="5757" spans="1:26" customHeight="1" ht="36" hidden="true" outlineLevel="3">
      <c r="A5757" s="2" t="s">
        <v>10908</v>
      </c>
      <c r="B5757" s="3" t="s">
        <v>10909</v>
      </c>
      <c r="C5757" s="2"/>
      <c r="D5757" s="2" t="s">
        <v>16</v>
      </c>
      <c r="E5757" s="4">
        <f>297.94*(1-Z1%)</f>
        <v>297.94</v>
      </c>
      <c r="F5757" s="2">
        <v>3</v>
      </c>
      <c r="G5757" s="2"/>
    </row>
    <row r="5758" spans="1:26" customHeight="1" ht="36" hidden="true" outlineLevel="3">
      <c r="A5758" s="2" t="s">
        <v>10910</v>
      </c>
      <c r="B5758" s="3" t="s">
        <v>10911</v>
      </c>
      <c r="C5758" s="2"/>
      <c r="D5758" s="2" t="s">
        <v>16</v>
      </c>
      <c r="E5758" s="4">
        <f>297.94*(1-Z1%)</f>
        <v>297.94</v>
      </c>
      <c r="F5758" s="2">
        <v>3</v>
      </c>
      <c r="G5758" s="2"/>
    </row>
    <row r="5759" spans="1:26" customHeight="1" ht="36" hidden="true" outlineLevel="3">
      <c r="A5759" s="2" t="s">
        <v>10912</v>
      </c>
      <c r="B5759" s="3" t="s">
        <v>10913</v>
      </c>
      <c r="C5759" s="2"/>
      <c r="D5759" s="2" t="s">
        <v>16</v>
      </c>
      <c r="E5759" s="4">
        <f>297.94*(1-Z1%)</f>
        <v>297.94</v>
      </c>
      <c r="F5759" s="2">
        <v>5</v>
      </c>
      <c r="G5759" s="2"/>
    </row>
    <row r="5760" spans="1:26" customHeight="1" ht="18" hidden="true" outlineLevel="3">
      <c r="A5760" s="2" t="s">
        <v>10914</v>
      </c>
      <c r="B5760" s="3" t="s">
        <v>10915</v>
      </c>
      <c r="C5760" s="2"/>
      <c r="D5760" s="2" t="s">
        <v>16</v>
      </c>
      <c r="E5760" s="4">
        <f>339.85*(1-Z1%)</f>
        <v>339.85</v>
      </c>
      <c r="F5760" s="2">
        <v>1</v>
      </c>
      <c r="G5760" s="2"/>
    </row>
    <row r="5761" spans="1:26" customHeight="1" ht="36" hidden="true" outlineLevel="3">
      <c r="A5761" s="2" t="s">
        <v>10916</v>
      </c>
      <c r="B5761" s="3" t="s">
        <v>10917</v>
      </c>
      <c r="C5761" s="2"/>
      <c r="D5761" s="2" t="s">
        <v>16</v>
      </c>
      <c r="E5761" s="4">
        <f>357.52*(1-Z1%)</f>
        <v>357.52</v>
      </c>
      <c r="F5761" s="2">
        <v>3</v>
      </c>
      <c r="G5761" s="2"/>
    </row>
    <row r="5762" spans="1:26" customHeight="1" ht="36" hidden="true" outlineLevel="3">
      <c r="A5762" s="2" t="s">
        <v>10918</v>
      </c>
      <c r="B5762" s="3" t="s">
        <v>10919</v>
      </c>
      <c r="C5762" s="2"/>
      <c r="D5762" s="2" t="s">
        <v>16</v>
      </c>
      <c r="E5762" s="4">
        <f>357.52*(1-Z1%)</f>
        <v>357.52</v>
      </c>
      <c r="F5762" s="2">
        <v>5</v>
      </c>
      <c r="G5762" s="2"/>
    </row>
    <row r="5763" spans="1:26" customHeight="1" ht="36" hidden="true" outlineLevel="3">
      <c r="A5763" s="2" t="s">
        <v>10920</v>
      </c>
      <c r="B5763" s="3" t="s">
        <v>10921</v>
      </c>
      <c r="C5763" s="2"/>
      <c r="D5763" s="2" t="s">
        <v>16</v>
      </c>
      <c r="E5763" s="4">
        <f>357.52*(1-Z1%)</f>
        <v>357.52</v>
      </c>
      <c r="F5763" s="2">
        <v>1</v>
      </c>
      <c r="G5763" s="2"/>
    </row>
    <row r="5764" spans="1:26" customHeight="1" ht="36" hidden="true" outlineLevel="3">
      <c r="A5764" s="2" t="s">
        <v>10922</v>
      </c>
      <c r="B5764" s="3" t="s">
        <v>10923</v>
      </c>
      <c r="C5764" s="2"/>
      <c r="D5764" s="2" t="s">
        <v>16</v>
      </c>
      <c r="E5764" s="4">
        <f>357.52*(1-Z1%)</f>
        <v>357.52</v>
      </c>
      <c r="F5764" s="2">
        <v>5</v>
      </c>
      <c r="G5764" s="2"/>
    </row>
    <row r="5765" spans="1:26" customHeight="1" ht="18" hidden="true" outlineLevel="3">
      <c r="A5765" s="2" t="s">
        <v>10924</v>
      </c>
      <c r="B5765" s="3" t="s">
        <v>10925</v>
      </c>
      <c r="C5765" s="2"/>
      <c r="D5765" s="2" t="s">
        <v>16</v>
      </c>
      <c r="E5765" s="4">
        <f>496.65*(1-Z1%)</f>
        <v>496.65</v>
      </c>
      <c r="F5765" s="2">
        <v>1</v>
      </c>
      <c r="G5765" s="2"/>
    </row>
    <row r="5766" spans="1:26" customHeight="1" ht="18" hidden="true" outlineLevel="3">
      <c r="A5766" s="2" t="s">
        <v>10926</v>
      </c>
      <c r="B5766" s="3" t="s">
        <v>10927</v>
      </c>
      <c r="C5766" s="2"/>
      <c r="D5766" s="2" t="s">
        <v>16</v>
      </c>
      <c r="E5766" s="4">
        <f>496.65*(1-Z1%)</f>
        <v>496.65</v>
      </c>
      <c r="F5766" s="2">
        <v>2</v>
      </c>
      <c r="G5766" s="2"/>
    </row>
    <row r="5767" spans="1:26" customHeight="1" ht="18" hidden="true" outlineLevel="3">
      <c r="A5767" s="2" t="s">
        <v>10928</v>
      </c>
      <c r="B5767" s="3" t="s">
        <v>10929</v>
      </c>
      <c r="C5767" s="2"/>
      <c r="D5767" s="2" t="s">
        <v>16</v>
      </c>
      <c r="E5767" s="4">
        <f>496.65*(1-Z1%)</f>
        <v>496.65</v>
      </c>
      <c r="F5767" s="2">
        <v>1</v>
      </c>
      <c r="G5767" s="2"/>
    </row>
    <row r="5768" spans="1:26" customHeight="1" ht="36" hidden="true" outlineLevel="3">
      <c r="A5768" s="2" t="s">
        <v>10930</v>
      </c>
      <c r="B5768" s="3" t="s">
        <v>10931</v>
      </c>
      <c r="C5768" s="2"/>
      <c r="D5768" s="2" t="s">
        <v>16</v>
      </c>
      <c r="E5768" s="4">
        <f>417.11*(1-Z1%)</f>
        <v>417.11</v>
      </c>
      <c r="F5768" s="2">
        <v>2</v>
      </c>
      <c r="G5768" s="2"/>
    </row>
    <row r="5769" spans="1:26" customHeight="1" ht="36" hidden="true" outlineLevel="3">
      <c r="A5769" s="2" t="s">
        <v>10932</v>
      </c>
      <c r="B5769" s="3" t="s">
        <v>10933</v>
      </c>
      <c r="C5769" s="2"/>
      <c r="D5769" s="2" t="s">
        <v>16</v>
      </c>
      <c r="E5769" s="4">
        <f>417.11*(1-Z1%)</f>
        <v>417.11</v>
      </c>
      <c r="F5769" s="2">
        <v>3</v>
      </c>
      <c r="G5769" s="2"/>
    </row>
    <row r="5770" spans="1:26" customHeight="1" ht="36" hidden="true" outlineLevel="3">
      <c r="A5770" s="2" t="s">
        <v>10934</v>
      </c>
      <c r="B5770" s="3" t="s">
        <v>10935</v>
      </c>
      <c r="C5770" s="2"/>
      <c r="D5770" s="2" t="s">
        <v>16</v>
      </c>
      <c r="E5770" s="4">
        <f>417.11*(1-Z1%)</f>
        <v>417.11</v>
      </c>
      <c r="F5770" s="2">
        <v>1</v>
      </c>
      <c r="G5770" s="2"/>
    </row>
    <row r="5771" spans="1:26" customHeight="1" ht="36" hidden="true" outlineLevel="3">
      <c r="A5771" s="2" t="s">
        <v>10936</v>
      </c>
      <c r="B5771" s="3" t="s">
        <v>10937</v>
      </c>
      <c r="C5771" s="2"/>
      <c r="D5771" s="2" t="s">
        <v>16</v>
      </c>
      <c r="E5771" s="4">
        <f>456.83*(1-Z1%)</f>
        <v>456.83</v>
      </c>
      <c r="F5771" s="2">
        <v>2</v>
      </c>
      <c r="G5771" s="2"/>
    </row>
    <row r="5772" spans="1:26" customHeight="1" ht="36" hidden="true" outlineLevel="3">
      <c r="A5772" s="2" t="s">
        <v>10938</v>
      </c>
      <c r="B5772" s="3" t="s">
        <v>10939</v>
      </c>
      <c r="C5772" s="2"/>
      <c r="D5772" s="2" t="s">
        <v>16</v>
      </c>
      <c r="E5772" s="4">
        <f>456.83*(1-Z1%)</f>
        <v>456.83</v>
      </c>
      <c r="F5772" s="2">
        <v>3</v>
      </c>
      <c r="G5772" s="2"/>
    </row>
    <row r="5773" spans="1:26" customHeight="1" ht="36" hidden="true" outlineLevel="3">
      <c r="A5773" s="2" t="s">
        <v>10940</v>
      </c>
      <c r="B5773" s="3" t="s">
        <v>10941</v>
      </c>
      <c r="C5773" s="2"/>
      <c r="D5773" s="2" t="s">
        <v>16</v>
      </c>
      <c r="E5773" s="4">
        <f>417.11*(1-Z1%)</f>
        <v>417.11</v>
      </c>
      <c r="F5773" s="2">
        <v>4</v>
      </c>
      <c r="G5773" s="2"/>
    </row>
    <row r="5774" spans="1:26" customHeight="1" ht="36" hidden="true" outlineLevel="3">
      <c r="A5774" s="2" t="s">
        <v>10942</v>
      </c>
      <c r="B5774" s="3" t="s">
        <v>10943</v>
      </c>
      <c r="C5774" s="2"/>
      <c r="D5774" s="2" t="s">
        <v>16</v>
      </c>
      <c r="E5774" s="4">
        <f>417.11*(1-Z1%)</f>
        <v>417.11</v>
      </c>
      <c r="F5774" s="2">
        <v>2</v>
      </c>
      <c r="G5774" s="2"/>
    </row>
    <row r="5775" spans="1:26" customHeight="1" ht="36" hidden="true" outlineLevel="3">
      <c r="A5775" s="2" t="s">
        <v>10944</v>
      </c>
      <c r="B5775" s="3" t="s">
        <v>10945</v>
      </c>
      <c r="C5775" s="2"/>
      <c r="D5775" s="2" t="s">
        <v>16</v>
      </c>
      <c r="E5775" s="4">
        <f>417.11*(1-Z1%)</f>
        <v>417.11</v>
      </c>
      <c r="F5775" s="2">
        <v>1</v>
      </c>
      <c r="G5775" s="2"/>
    </row>
    <row r="5776" spans="1:26" customHeight="1" ht="36" hidden="true" outlineLevel="3">
      <c r="A5776" s="2" t="s">
        <v>10946</v>
      </c>
      <c r="B5776" s="3" t="s">
        <v>10947</v>
      </c>
      <c r="C5776" s="2"/>
      <c r="D5776" s="2" t="s">
        <v>16</v>
      </c>
      <c r="E5776" s="4">
        <f>576.00*(1-Z1%)</f>
        <v>576</v>
      </c>
      <c r="F5776" s="2">
        <v>2</v>
      </c>
      <c r="G5776" s="2"/>
    </row>
    <row r="5777" spans="1:26" customHeight="1" ht="36" hidden="true" outlineLevel="3">
      <c r="A5777" s="2" t="s">
        <v>10948</v>
      </c>
      <c r="B5777" s="3" t="s">
        <v>10949</v>
      </c>
      <c r="C5777" s="2"/>
      <c r="D5777" s="2" t="s">
        <v>16</v>
      </c>
      <c r="E5777" s="4">
        <f>576.00*(1-Z1%)</f>
        <v>576</v>
      </c>
      <c r="F5777" s="2">
        <v>1</v>
      </c>
      <c r="G5777" s="2"/>
    </row>
    <row r="5778" spans="1:26" customHeight="1" ht="36" hidden="true" outlineLevel="3">
      <c r="A5778" s="2" t="s">
        <v>10950</v>
      </c>
      <c r="B5778" s="3" t="s">
        <v>10951</v>
      </c>
      <c r="C5778" s="2"/>
      <c r="D5778" s="2" t="s">
        <v>16</v>
      </c>
      <c r="E5778" s="4">
        <f>645.51*(1-Z1%)</f>
        <v>645.51</v>
      </c>
      <c r="F5778" s="2">
        <v>4</v>
      </c>
      <c r="G5778" s="2"/>
    </row>
    <row r="5779" spans="1:26" customHeight="1" ht="36" hidden="true" outlineLevel="3">
      <c r="A5779" s="2" t="s">
        <v>10952</v>
      </c>
      <c r="B5779" s="3" t="s">
        <v>10953</v>
      </c>
      <c r="C5779" s="2"/>
      <c r="D5779" s="2" t="s">
        <v>16</v>
      </c>
      <c r="E5779" s="4">
        <f>576.00*(1-Z1%)</f>
        <v>576</v>
      </c>
      <c r="F5779" s="2">
        <v>2</v>
      </c>
      <c r="G5779" s="2"/>
    </row>
    <row r="5780" spans="1:26" customHeight="1" ht="36" hidden="true" outlineLevel="3">
      <c r="A5780" s="2" t="s">
        <v>10954</v>
      </c>
      <c r="B5780" s="3" t="s">
        <v>10955</v>
      </c>
      <c r="C5780" s="2"/>
      <c r="D5780" s="2" t="s">
        <v>16</v>
      </c>
      <c r="E5780" s="4">
        <f>576.00*(1-Z1%)</f>
        <v>576</v>
      </c>
      <c r="F5780" s="2">
        <v>2</v>
      </c>
      <c r="G5780" s="2"/>
    </row>
    <row r="5781" spans="1:26" customHeight="1" ht="18" hidden="true" outlineLevel="3">
      <c r="A5781" s="2" t="s">
        <v>10956</v>
      </c>
      <c r="B5781" s="3" t="s">
        <v>10957</v>
      </c>
      <c r="C5781" s="2"/>
      <c r="D5781" s="2" t="s">
        <v>16</v>
      </c>
      <c r="E5781" s="4">
        <f>804.72*(1-Z1%)</f>
        <v>804.72</v>
      </c>
      <c r="F5781" s="2">
        <v>1</v>
      </c>
      <c r="G5781" s="2"/>
    </row>
    <row r="5782" spans="1:26" customHeight="1" ht="18" hidden="true" outlineLevel="3">
      <c r="A5782" s="2" t="s">
        <v>10958</v>
      </c>
      <c r="B5782" s="3" t="s">
        <v>10959</v>
      </c>
      <c r="C5782" s="2"/>
      <c r="D5782" s="2" t="s">
        <v>16</v>
      </c>
      <c r="E5782" s="4">
        <f>804.72*(1-Z1%)</f>
        <v>804.72</v>
      </c>
      <c r="F5782" s="2">
        <v>1</v>
      </c>
      <c r="G5782" s="2"/>
    </row>
    <row r="5783" spans="1:26" customHeight="1" ht="36" hidden="true" outlineLevel="3">
      <c r="A5783" s="2" t="s">
        <v>10960</v>
      </c>
      <c r="B5783" s="3" t="s">
        <v>10961</v>
      </c>
      <c r="C5783" s="2"/>
      <c r="D5783" s="2" t="s">
        <v>16</v>
      </c>
      <c r="E5783" s="4">
        <f>690.21*(1-Z1%)</f>
        <v>690.21</v>
      </c>
      <c r="F5783" s="2">
        <v>2</v>
      </c>
      <c r="G5783" s="2"/>
    </row>
    <row r="5784" spans="1:26" customHeight="1" ht="36" hidden="true" outlineLevel="3">
      <c r="A5784" s="2" t="s">
        <v>10962</v>
      </c>
      <c r="B5784" s="3" t="s">
        <v>10963</v>
      </c>
      <c r="C5784" s="2"/>
      <c r="D5784" s="2" t="s">
        <v>16</v>
      </c>
      <c r="E5784" s="4">
        <f>690.21*(1-Z1%)</f>
        <v>690.21</v>
      </c>
      <c r="F5784" s="2">
        <v>2</v>
      </c>
      <c r="G5784" s="2"/>
    </row>
    <row r="5785" spans="1:26" customHeight="1" ht="36" hidden="true" outlineLevel="3">
      <c r="A5785" s="2" t="s">
        <v>10964</v>
      </c>
      <c r="B5785" s="3" t="s">
        <v>10965</v>
      </c>
      <c r="C5785" s="2"/>
      <c r="D5785" s="2" t="s">
        <v>16</v>
      </c>
      <c r="E5785" s="4">
        <f>764.68*(1-Z1%)</f>
        <v>764.68</v>
      </c>
      <c r="F5785" s="2">
        <v>2</v>
      </c>
      <c r="G5785" s="2"/>
    </row>
    <row r="5786" spans="1:26" customHeight="1" ht="36" hidden="true" outlineLevel="3">
      <c r="A5786" s="2" t="s">
        <v>10966</v>
      </c>
      <c r="B5786" s="3" t="s">
        <v>10967</v>
      </c>
      <c r="C5786" s="2"/>
      <c r="D5786" s="2" t="s">
        <v>16</v>
      </c>
      <c r="E5786" s="4">
        <f>690.21*(1-Z1%)</f>
        <v>690.21</v>
      </c>
      <c r="F5786" s="2">
        <v>2</v>
      </c>
      <c r="G5786" s="2"/>
    </row>
    <row r="5787" spans="1:26" customHeight="1" ht="35" hidden="true" outlineLevel="3">
      <c r="A5787" s="5" t="s">
        <v>10968</v>
      </c>
      <c r="B5787" s="5"/>
      <c r="C5787" s="5"/>
      <c r="D5787" s="5"/>
      <c r="E5787" s="5"/>
      <c r="F5787" s="5"/>
      <c r="G5787" s="5"/>
    </row>
    <row r="5788" spans="1:26" customHeight="1" ht="36" hidden="true" outlineLevel="3">
      <c r="A5788" s="2" t="s">
        <v>10969</v>
      </c>
      <c r="B5788" s="3" t="s">
        <v>10970</v>
      </c>
      <c r="C5788" s="2"/>
      <c r="D5788" s="2" t="s">
        <v>16</v>
      </c>
      <c r="E5788" s="4">
        <f>130.37*(1-Z1%)</f>
        <v>130.37</v>
      </c>
      <c r="F5788" s="2">
        <v>5</v>
      </c>
      <c r="G5788" s="2"/>
    </row>
    <row r="5789" spans="1:26" customHeight="1" ht="36" hidden="true" outlineLevel="3">
      <c r="A5789" s="2" t="s">
        <v>10971</v>
      </c>
      <c r="B5789" s="3" t="s">
        <v>10972</v>
      </c>
      <c r="C5789" s="2"/>
      <c r="D5789" s="2" t="s">
        <v>16</v>
      </c>
      <c r="E5789" s="4">
        <f>130.37*(1-Z1%)</f>
        <v>130.37</v>
      </c>
      <c r="F5789" s="2">
        <v>6</v>
      </c>
      <c r="G5789" s="2"/>
    </row>
    <row r="5790" spans="1:26" customHeight="1" ht="36" hidden="true" outlineLevel="3">
      <c r="A5790" s="2" t="s">
        <v>10973</v>
      </c>
      <c r="B5790" s="3" t="s">
        <v>10974</v>
      </c>
      <c r="C5790" s="2"/>
      <c r="D5790" s="2" t="s">
        <v>16</v>
      </c>
      <c r="E5790" s="4">
        <f>156.47*(1-Z1%)</f>
        <v>156.47</v>
      </c>
      <c r="F5790" s="2">
        <v>5</v>
      </c>
      <c r="G5790" s="2"/>
    </row>
    <row r="5791" spans="1:26" customHeight="1" ht="36" hidden="true" outlineLevel="3">
      <c r="A5791" s="2" t="s">
        <v>10975</v>
      </c>
      <c r="B5791" s="3" t="s">
        <v>10976</v>
      </c>
      <c r="C5791" s="2"/>
      <c r="D5791" s="2" t="s">
        <v>16</v>
      </c>
      <c r="E5791" s="4">
        <f>144.45*(1-Z1%)</f>
        <v>144.45</v>
      </c>
      <c r="F5791" s="2">
        <v>11</v>
      </c>
      <c r="G5791" s="2"/>
    </row>
    <row r="5792" spans="1:26" customHeight="1" ht="36" hidden="true" outlineLevel="3">
      <c r="A5792" s="2" t="s">
        <v>10977</v>
      </c>
      <c r="B5792" s="3" t="s">
        <v>10978</v>
      </c>
      <c r="C5792" s="2"/>
      <c r="D5792" s="2" t="s">
        <v>16</v>
      </c>
      <c r="E5792" s="4">
        <f>208.55*(1-Z1%)</f>
        <v>208.55</v>
      </c>
      <c r="F5792" s="2">
        <v>5</v>
      </c>
      <c r="G5792" s="2"/>
    </row>
    <row r="5793" spans="1:26" customHeight="1" ht="36" hidden="true" outlineLevel="3">
      <c r="A5793" s="2" t="s">
        <v>10979</v>
      </c>
      <c r="B5793" s="3" t="s">
        <v>10980</v>
      </c>
      <c r="C5793" s="2"/>
      <c r="D5793" s="2" t="s">
        <v>16</v>
      </c>
      <c r="E5793" s="4">
        <f>229.42*(1-Z1%)</f>
        <v>229.42</v>
      </c>
      <c r="F5793" s="2">
        <v>5</v>
      </c>
      <c r="G5793" s="2"/>
    </row>
    <row r="5794" spans="1:26" customHeight="1" ht="36" hidden="true" outlineLevel="3">
      <c r="A5794" s="2" t="s">
        <v>10981</v>
      </c>
      <c r="B5794" s="3" t="s">
        <v>10982</v>
      </c>
      <c r="C5794" s="2"/>
      <c r="D5794" s="2" t="s">
        <v>16</v>
      </c>
      <c r="E5794" s="4">
        <f>125.14*(1-Z1%)</f>
        <v>125.14</v>
      </c>
      <c r="F5794" s="2">
        <v>9</v>
      </c>
      <c r="G5794" s="2"/>
    </row>
    <row r="5795" spans="1:26" customHeight="1" ht="36" hidden="true" outlineLevel="3">
      <c r="A5795" s="2" t="s">
        <v>10983</v>
      </c>
      <c r="B5795" s="3" t="s">
        <v>10984</v>
      </c>
      <c r="C5795" s="2"/>
      <c r="D5795" s="2" t="s">
        <v>16</v>
      </c>
      <c r="E5795" s="4">
        <f>125.14*(1-Z1%)</f>
        <v>125.14</v>
      </c>
      <c r="F5795" s="2">
        <v>9</v>
      </c>
      <c r="G5795" s="2"/>
    </row>
    <row r="5796" spans="1:26" customHeight="1" ht="36" hidden="true" outlineLevel="3">
      <c r="A5796" s="2" t="s">
        <v>10985</v>
      </c>
      <c r="B5796" s="3" t="s">
        <v>10986</v>
      </c>
      <c r="C5796" s="2"/>
      <c r="D5796" s="2" t="s">
        <v>16</v>
      </c>
      <c r="E5796" s="4">
        <f>145.99*(1-Z1%)</f>
        <v>145.99</v>
      </c>
      <c r="F5796" s="2">
        <v>8</v>
      </c>
      <c r="G5796" s="2"/>
    </row>
    <row r="5797" spans="1:26" customHeight="1" ht="36" hidden="true" outlineLevel="3">
      <c r="A5797" s="2" t="s">
        <v>10987</v>
      </c>
      <c r="B5797" s="3" t="s">
        <v>10988</v>
      </c>
      <c r="C5797" s="2"/>
      <c r="D5797" s="2" t="s">
        <v>16</v>
      </c>
      <c r="E5797" s="4">
        <f>135.42*(1-Z1%)</f>
        <v>135.42</v>
      </c>
      <c r="F5797" s="2">
        <v>15</v>
      </c>
      <c r="G5797" s="2"/>
    </row>
    <row r="5798" spans="1:26" customHeight="1" ht="36" hidden="true" outlineLevel="3">
      <c r="A5798" s="2" t="s">
        <v>10989</v>
      </c>
      <c r="B5798" s="3" t="s">
        <v>10990</v>
      </c>
      <c r="C5798" s="2"/>
      <c r="D5798" s="2" t="s">
        <v>16</v>
      </c>
      <c r="E5798" s="4">
        <f>171.54*(1-Z1%)</f>
        <v>171.54</v>
      </c>
      <c r="F5798" s="2">
        <v>17</v>
      </c>
      <c r="G5798" s="2"/>
    </row>
    <row r="5799" spans="1:26" customHeight="1" ht="36" hidden="true" outlineLevel="3">
      <c r="A5799" s="2" t="s">
        <v>10991</v>
      </c>
      <c r="B5799" s="3" t="s">
        <v>10992</v>
      </c>
      <c r="C5799" s="2"/>
      <c r="D5799" s="2" t="s">
        <v>16</v>
      </c>
      <c r="E5799" s="4">
        <f>171.54*(1-Z1%)</f>
        <v>171.54</v>
      </c>
      <c r="F5799" s="2">
        <v>12</v>
      </c>
      <c r="G5799" s="2"/>
    </row>
    <row r="5800" spans="1:26" customHeight="1" ht="36" hidden="true" outlineLevel="3">
      <c r="A5800" s="2" t="s">
        <v>10993</v>
      </c>
      <c r="B5800" s="3" t="s">
        <v>10994</v>
      </c>
      <c r="C5800" s="2"/>
      <c r="D5800" s="2" t="s">
        <v>16</v>
      </c>
      <c r="E5800" s="4">
        <f>194.10*(1-Z1%)</f>
        <v>194.1</v>
      </c>
      <c r="F5800" s="2">
        <v>6</v>
      </c>
      <c r="G5800" s="2"/>
    </row>
    <row r="5801" spans="1:26" customHeight="1" ht="36" hidden="true" outlineLevel="3">
      <c r="A5801" s="2" t="s">
        <v>10995</v>
      </c>
      <c r="B5801" s="3" t="s">
        <v>10996</v>
      </c>
      <c r="C5801" s="2"/>
      <c r="D5801" s="2" t="s">
        <v>16</v>
      </c>
      <c r="E5801" s="4">
        <f>194.10*(1-Z1%)</f>
        <v>194.1</v>
      </c>
      <c r="F5801" s="2">
        <v>7</v>
      </c>
      <c r="G5801" s="2"/>
    </row>
    <row r="5802" spans="1:26" customHeight="1" ht="36" hidden="true" outlineLevel="3">
      <c r="A5802" s="2" t="s">
        <v>10997</v>
      </c>
      <c r="B5802" s="3" t="s">
        <v>10998</v>
      </c>
      <c r="C5802" s="2"/>
      <c r="D5802" s="2" t="s">
        <v>16</v>
      </c>
      <c r="E5802" s="4">
        <f>265.89*(1-Z1%)</f>
        <v>265.89</v>
      </c>
      <c r="F5802" s="2">
        <v>6</v>
      </c>
      <c r="G5802" s="2"/>
    </row>
    <row r="5803" spans="1:26" customHeight="1" ht="36" hidden="true" outlineLevel="3">
      <c r="A5803" s="2" t="s">
        <v>10999</v>
      </c>
      <c r="B5803" s="3" t="s">
        <v>11000</v>
      </c>
      <c r="C5803" s="2"/>
      <c r="D5803" s="2" t="s">
        <v>16</v>
      </c>
      <c r="E5803" s="4">
        <f>265.89*(1-Z1%)</f>
        <v>265.89</v>
      </c>
      <c r="F5803" s="2">
        <v>9</v>
      </c>
      <c r="G5803" s="2"/>
    </row>
    <row r="5804" spans="1:26" customHeight="1" ht="36" hidden="true" outlineLevel="3">
      <c r="A5804" s="2" t="s">
        <v>11001</v>
      </c>
      <c r="B5804" s="3" t="s">
        <v>11002</v>
      </c>
      <c r="C5804" s="2"/>
      <c r="D5804" s="2" t="s">
        <v>16</v>
      </c>
      <c r="E5804" s="4">
        <f>448.43*(1-Z1%)</f>
        <v>448.43</v>
      </c>
      <c r="F5804" s="2">
        <v>8</v>
      </c>
      <c r="G5804" s="2"/>
    </row>
    <row r="5805" spans="1:26" customHeight="1" ht="36" hidden="true" outlineLevel="3">
      <c r="A5805" s="2" t="s">
        <v>11003</v>
      </c>
      <c r="B5805" s="3" t="s">
        <v>11004</v>
      </c>
      <c r="C5805" s="2"/>
      <c r="D5805" s="2" t="s">
        <v>16</v>
      </c>
      <c r="E5805" s="4">
        <f>163.86*(1-Z1%)</f>
        <v>163.86</v>
      </c>
      <c r="F5805" s="2">
        <v>18</v>
      </c>
      <c r="G5805" s="2"/>
    </row>
    <row r="5806" spans="1:26" customHeight="1" ht="36" hidden="true" outlineLevel="3">
      <c r="A5806" s="2" t="s">
        <v>11005</v>
      </c>
      <c r="B5806" s="3" t="s">
        <v>11006</v>
      </c>
      <c r="C5806" s="2"/>
      <c r="D5806" s="2" t="s">
        <v>16</v>
      </c>
      <c r="E5806" s="4">
        <f>163.86*(1-Z1%)</f>
        <v>163.86</v>
      </c>
      <c r="F5806" s="2">
        <v>16</v>
      </c>
      <c r="G5806" s="2"/>
    </row>
    <row r="5807" spans="1:26" customHeight="1" ht="36" hidden="true" outlineLevel="3">
      <c r="A5807" s="2" t="s">
        <v>11007</v>
      </c>
      <c r="B5807" s="3" t="s">
        <v>11008</v>
      </c>
      <c r="C5807" s="2"/>
      <c r="D5807" s="2" t="s">
        <v>16</v>
      </c>
      <c r="E5807" s="4">
        <f>213.53*(1-Z1%)</f>
        <v>213.53</v>
      </c>
      <c r="F5807" s="2">
        <v>12</v>
      </c>
      <c r="G5807" s="2"/>
    </row>
    <row r="5808" spans="1:26" customHeight="1" ht="36" hidden="true" outlineLevel="3">
      <c r="A5808" s="2" t="s">
        <v>11009</v>
      </c>
      <c r="B5808" s="3" t="s">
        <v>11010</v>
      </c>
      <c r="C5808" s="2"/>
      <c r="D5808" s="2" t="s">
        <v>16</v>
      </c>
      <c r="E5808" s="4">
        <f>213.53*(1-Z1%)</f>
        <v>213.53</v>
      </c>
      <c r="F5808" s="2">
        <v>10</v>
      </c>
      <c r="G5808" s="2"/>
    </row>
    <row r="5809" spans="1:26" customHeight="1" ht="36" hidden="true" outlineLevel="3">
      <c r="A5809" s="2" t="s">
        <v>11011</v>
      </c>
      <c r="B5809" s="3" t="s">
        <v>11012</v>
      </c>
      <c r="C5809" s="2"/>
      <c r="D5809" s="2" t="s">
        <v>16</v>
      </c>
      <c r="E5809" s="4">
        <f>306.95*(1-Z1%)</f>
        <v>306.95</v>
      </c>
      <c r="F5809" s="2">
        <v>10</v>
      </c>
      <c r="G5809" s="2"/>
    </row>
    <row r="5810" spans="1:26" customHeight="1" ht="36" hidden="true" outlineLevel="3">
      <c r="A5810" s="2" t="s">
        <v>11013</v>
      </c>
      <c r="B5810" s="3" t="s">
        <v>11014</v>
      </c>
      <c r="C5810" s="2"/>
      <c r="D5810" s="2" t="s">
        <v>16</v>
      </c>
      <c r="E5810" s="4">
        <f>307.86*(1-Z1%)</f>
        <v>307.86</v>
      </c>
      <c r="F5810" s="2">
        <v>5</v>
      </c>
      <c r="G5810" s="2"/>
    </row>
    <row r="5811" spans="1:26" customHeight="1" ht="36" hidden="true" outlineLevel="3">
      <c r="A5811" s="2" t="s">
        <v>11015</v>
      </c>
      <c r="B5811" s="3" t="s">
        <v>11016</v>
      </c>
      <c r="C5811" s="2"/>
      <c r="D5811" s="2" t="s">
        <v>16</v>
      </c>
      <c r="E5811" s="4">
        <f>469.47*(1-Z1%)</f>
        <v>469.47</v>
      </c>
      <c r="F5811" s="2">
        <v>7</v>
      </c>
      <c r="G5811" s="2"/>
    </row>
    <row r="5812" spans="1:26" customHeight="1" ht="36" hidden="true" outlineLevel="3">
      <c r="A5812" s="2" t="s">
        <v>11017</v>
      </c>
      <c r="B5812" s="3" t="s">
        <v>11018</v>
      </c>
      <c r="C5812" s="2"/>
      <c r="D5812" s="2" t="s">
        <v>16</v>
      </c>
      <c r="E5812" s="4">
        <f>481.65*(1-Z1%)</f>
        <v>481.65</v>
      </c>
      <c r="F5812" s="2">
        <v>6</v>
      </c>
      <c r="G5812" s="2"/>
    </row>
    <row r="5813" spans="1:26" customHeight="1" ht="36" hidden="true" outlineLevel="3">
      <c r="A5813" s="2" t="s">
        <v>11019</v>
      </c>
      <c r="B5813" s="3" t="s">
        <v>11020</v>
      </c>
      <c r="C5813" s="2"/>
      <c r="D5813" s="2" t="s">
        <v>16</v>
      </c>
      <c r="E5813" s="4">
        <f>162.50*(1-Z1%)</f>
        <v>162.5</v>
      </c>
      <c r="F5813" s="2">
        <v>10</v>
      </c>
      <c r="G5813" s="2"/>
    </row>
    <row r="5814" spans="1:26" customHeight="1" ht="36" hidden="true" outlineLevel="3">
      <c r="A5814" s="2" t="s">
        <v>11021</v>
      </c>
      <c r="B5814" s="3" t="s">
        <v>11022</v>
      </c>
      <c r="C5814" s="2"/>
      <c r="D5814" s="2" t="s">
        <v>16</v>
      </c>
      <c r="E5814" s="4">
        <f>162.50*(1-Z1%)</f>
        <v>162.5</v>
      </c>
      <c r="F5814" s="2">
        <v>10</v>
      </c>
      <c r="G5814" s="2"/>
    </row>
    <row r="5815" spans="1:26" customHeight="1" ht="36" hidden="true" outlineLevel="3">
      <c r="A5815" s="2" t="s">
        <v>11023</v>
      </c>
      <c r="B5815" s="3" t="s">
        <v>11024</v>
      </c>
      <c r="C5815" s="2"/>
      <c r="D5815" s="2" t="s">
        <v>16</v>
      </c>
      <c r="E5815" s="4">
        <f>297.94*(1-Z1%)</f>
        <v>297.94</v>
      </c>
      <c r="F5815" s="2">
        <v>11</v>
      </c>
      <c r="G5815" s="2"/>
    </row>
    <row r="5816" spans="1:26" customHeight="1" ht="36" hidden="true" outlineLevel="3">
      <c r="A5816" s="2" t="s">
        <v>11025</v>
      </c>
      <c r="B5816" s="3" t="s">
        <v>11026</v>
      </c>
      <c r="C5816" s="2"/>
      <c r="D5816" s="2" t="s">
        <v>16</v>
      </c>
      <c r="E5816" s="4">
        <f>292.98*(1-Z1%)</f>
        <v>292.98</v>
      </c>
      <c r="F5816" s="2">
        <v>7</v>
      </c>
      <c r="G5816" s="2"/>
    </row>
    <row r="5817" spans="1:26" customHeight="1" ht="36" hidden="true" outlineLevel="3">
      <c r="A5817" s="2" t="s">
        <v>11027</v>
      </c>
      <c r="B5817" s="3" t="s">
        <v>11028</v>
      </c>
      <c r="C5817" s="2"/>
      <c r="D5817" s="2" t="s">
        <v>16</v>
      </c>
      <c r="E5817" s="4">
        <f>461.80*(1-Z1%)</f>
        <v>461.8</v>
      </c>
      <c r="F5817" s="2">
        <v>11</v>
      </c>
      <c r="G5817" s="2"/>
    </row>
    <row r="5818" spans="1:26" customHeight="1" ht="36" hidden="true" outlineLevel="3">
      <c r="A5818" s="2" t="s">
        <v>11029</v>
      </c>
      <c r="B5818" s="3" t="s">
        <v>11030</v>
      </c>
      <c r="C5818" s="2"/>
      <c r="D5818" s="2" t="s">
        <v>16</v>
      </c>
      <c r="E5818" s="4">
        <f>460.44*(1-Z1%)</f>
        <v>460.44</v>
      </c>
      <c r="F5818" s="2">
        <v>10</v>
      </c>
      <c r="G5818" s="2"/>
    </row>
    <row r="5819" spans="1:26" customHeight="1" ht="35" hidden="true" outlineLevel="3">
      <c r="A5819" s="5" t="s">
        <v>11031</v>
      </c>
      <c r="B5819" s="5"/>
      <c r="C5819" s="5"/>
      <c r="D5819" s="5"/>
      <c r="E5819" s="5"/>
      <c r="F5819" s="5"/>
      <c r="G5819" s="5"/>
    </row>
    <row r="5820" spans="1:26" customHeight="1" ht="18" hidden="true" outlineLevel="3">
      <c r="A5820" s="2" t="s">
        <v>11032</v>
      </c>
      <c r="B5820" s="3" t="s">
        <v>11033</v>
      </c>
      <c r="C5820" s="2"/>
      <c r="D5820" s="2" t="s">
        <v>16</v>
      </c>
      <c r="E5820" s="4">
        <f>164.16*(1-Z1%)</f>
        <v>164.16</v>
      </c>
      <c r="F5820" s="2">
        <v>3</v>
      </c>
      <c r="G5820" s="2"/>
    </row>
    <row r="5821" spans="1:26" customHeight="1" ht="35" hidden="true" outlineLevel="3">
      <c r="A5821" s="5" t="s">
        <v>11034</v>
      </c>
      <c r="B5821" s="5"/>
      <c r="C5821" s="5"/>
      <c r="D5821" s="5"/>
      <c r="E5821" s="5"/>
      <c r="F5821" s="5"/>
      <c r="G5821" s="5"/>
    </row>
    <row r="5822" spans="1:26" customHeight="1" ht="36" hidden="true" outlineLevel="3">
      <c r="A5822" s="2" t="s">
        <v>11035</v>
      </c>
      <c r="B5822" s="3" t="s">
        <v>11036</v>
      </c>
      <c r="C5822" s="2"/>
      <c r="D5822" s="2" t="s">
        <v>16</v>
      </c>
      <c r="E5822" s="4">
        <f>313.03*(1-Z1%)</f>
        <v>313.03</v>
      </c>
      <c r="F5822" s="2">
        <v>221</v>
      </c>
      <c r="G5822" s="2"/>
    </row>
    <row r="5823" spans="1:26" customHeight="1" ht="36" hidden="true" outlineLevel="3">
      <c r="A5823" s="2" t="s">
        <v>11037</v>
      </c>
      <c r="B5823" s="3" t="s">
        <v>11038</v>
      </c>
      <c r="C5823" s="2"/>
      <c r="D5823" s="2" t="s">
        <v>16</v>
      </c>
      <c r="E5823" s="4">
        <f>313.03*(1-Z1%)</f>
        <v>313.03</v>
      </c>
      <c r="F5823" s="2">
        <v>7</v>
      </c>
      <c r="G5823" s="2"/>
    </row>
    <row r="5824" spans="1:26" customHeight="1" ht="36" hidden="true" outlineLevel="3">
      <c r="A5824" s="2" t="s">
        <v>11039</v>
      </c>
      <c r="B5824" s="3" t="s">
        <v>11040</v>
      </c>
      <c r="C5824" s="2"/>
      <c r="D5824" s="2" t="s">
        <v>16</v>
      </c>
      <c r="E5824" s="4">
        <f>484.30*(1-Z1%)</f>
        <v>484.3</v>
      </c>
      <c r="F5824" s="2">
        <v>2</v>
      </c>
      <c r="G5824" s="2"/>
    </row>
    <row r="5825" spans="1:26" customHeight="1" ht="36" hidden="true" outlineLevel="3">
      <c r="A5825" s="2" t="s">
        <v>11041</v>
      </c>
      <c r="B5825" s="3" t="s">
        <v>11042</v>
      </c>
      <c r="C5825" s="2"/>
      <c r="D5825" s="2" t="s">
        <v>16</v>
      </c>
      <c r="E5825" s="4">
        <f>303.58*(1-Z1%)</f>
        <v>303.58</v>
      </c>
      <c r="F5825" s="2">
        <v>1</v>
      </c>
      <c r="G5825" s="2"/>
    </row>
    <row r="5826" spans="1:26" customHeight="1" ht="35" hidden="true" outlineLevel="3">
      <c r="A5826" s="5" t="s">
        <v>11043</v>
      </c>
      <c r="B5826" s="5"/>
      <c r="C5826" s="5"/>
      <c r="D5826" s="5"/>
      <c r="E5826" s="5"/>
      <c r="F5826" s="5"/>
      <c r="G5826" s="5"/>
    </row>
    <row r="5827" spans="1:26" customHeight="1" ht="36" hidden="true" outlineLevel="3">
      <c r="A5827" s="2" t="s">
        <v>11044</v>
      </c>
      <c r="B5827" s="3" t="s">
        <v>11045</v>
      </c>
      <c r="C5827" s="2"/>
      <c r="D5827" s="2" t="s">
        <v>16</v>
      </c>
      <c r="E5827" s="4">
        <f>52.17*(1-Z1%)</f>
        <v>52.17</v>
      </c>
      <c r="F5827" s="2">
        <v>10</v>
      </c>
      <c r="G5827" s="2"/>
    </row>
    <row r="5828" spans="1:26" customHeight="1" ht="36" hidden="true" outlineLevel="3">
      <c r="A5828" s="2" t="s">
        <v>11046</v>
      </c>
      <c r="B5828" s="3" t="s">
        <v>11047</v>
      </c>
      <c r="C5828" s="2"/>
      <c r="D5828" s="2" t="s">
        <v>16</v>
      </c>
      <c r="E5828" s="4">
        <f>52.17*(1-Z1%)</f>
        <v>52.17</v>
      </c>
      <c r="F5828" s="2">
        <v>10</v>
      </c>
      <c r="G5828" s="2"/>
    </row>
    <row r="5829" spans="1:26" customHeight="1" ht="36" hidden="true" outlineLevel="3">
      <c r="A5829" s="2" t="s">
        <v>11048</v>
      </c>
      <c r="B5829" s="3" t="s">
        <v>11049</v>
      </c>
      <c r="C5829" s="2"/>
      <c r="D5829" s="2" t="s">
        <v>16</v>
      </c>
      <c r="E5829" s="4">
        <f>91.77*(1-Z1%)</f>
        <v>91.77</v>
      </c>
      <c r="F5829" s="2">
        <v>10</v>
      </c>
      <c r="G5829" s="2"/>
    </row>
    <row r="5830" spans="1:26" customHeight="1" ht="36" hidden="true" outlineLevel="3">
      <c r="A5830" s="2" t="s">
        <v>11050</v>
      </c>
      <c r="B5830" s="3" t="s">
        <v>11051</v>
      </c>
      <c r="C5830" s="2"/>
      <c r="D5830" s="2" t="s">
        <v>16</v>
      </c>
      <c r="E5830" s="4">
        <f>36.72*(1-Z1%)</f>
        <v>36.72</v>
      </c>
      <c r="F5830" s="2">
        <v>10</v>
      </c>
      <c r="G5830" s="2"/>
    </row>
    <row r="5831" spans="1:26" customHeight="1" ht="36" hidden="true" outlineLevel="3">
      <c r="A5831" s="2" t="s">
        <v>11052</v>
      </c>
      <c r="B5831" s="3" t="s">
        <v>11053</v>
      </c>
      <c r="C5831" s="2"/>
      <c r="D5831" s="2" t="s">
        <v>16</v>
      </c>
      <c r="E5831" s="4">
        <f>36.72*(1-Z1%)</f>
        <v>36.72</v>
      </c>
      <c r="F5831" s="2">
        <v>10</v>
      </c>
      <c r="G5831" s="2"/>
    </row>
    <row r="5832" spans="1:26" customHeight="1" ht="36" hidden="true" outlineLevel="3">
      <c r="A5832" s="2" t="s">
        <v>11054</v>
      </c>
      <c r="B5832" s="3" t="s">
        <v>11055</v>
      </c>
      <c r="C5832" s="2"/>
      <c r="D5832" s="2" t="s">
        <v>16</v>
      </c>
      <c r="E5832" s="4">
        <f>52.17*(1-Z1%)</f>
        <v>52.17</v>
      </c>
      <c r="F5832" s="2">
        <v>10</v>
      </c>
      <c r="G5832" s="2"/>
    </row>
    <row r="5833" spans="1:26" customHeight="1" ht="36" hidden="true" outlineLevel="3">
      <c r="A5833" s="2" t="s">
        <v>11056</v>
      </c>
      <c r="B5833" s="3" t="s">
        <v>11057</v>
      </c>
      <c r="C5833" s="2"/>
      <c r="D5833" s="2" t="s">
        <v>16</v>
      </c>
      <c r="E5833" s="4">
        <f>52.17*(1-Z1%)</f>
        <v>52.17</v>
      </c>
      <c r="F5833" s="2">
        <v>10</v>
      </c>
      <c r="G5833" s="2"/>
    </row>
    <row r="5834" spans="1:26" customHeight="1" ht="36" hidden="true" outlineLevel="3">
      <c r="A5834" s="2" t="s">
        <v>11058</v>
      </c>
      <c r="B5834" s="3" t="s">
        <v>11059</v>
      </c>
      <c r="C5834" s="2"/>
      <c r="D5834" s="2" t="s">
        <v>16</v>
      </c>
      <c r="E5834" s="4">
        <f>52.17*(1-Z1%)</f>
        <v>52.17</v>
      </c>
      <c r="F5834" s="2">
        <v>10</v>
      </c>
      <c r="G5834" s="2"/>
    </row>
    <row r="5835" spans="1:26" customHeight="1" ht="35" hidden="true" outlineLevel="3">
      <c r="A5835" s="5" t="s">
        <v>11060</v>
      </c>
      <c r="B5835" s="5"/>
      <c r="C5835" s="5"/>
      <c r="D5835" s="5"/>
      <c r="E5835" s="5"/>
      <c r="F5835" s="5"/>
      <c r="G5835" s="5"/>
    </row>
    <row r="5836" spans="1:26" customHeight="1" ht="18" hidden="true" outlineLevel="3">
      <c r="A5836" s="2" t="s">
        <v>11061</v>
      </c>
      <c r="B5836" s="3" t="s">
        <v>11062</v>
      </c>
      <c r="C5836" s="2"/>
      <c r="D5836" s="2" t="s">
        <v>16</v>
      </c>
      <c r="E5836" s="4">
        <f>669.44*(1-Z1%)</f>
        <v>669.44</v>
      </c>
      <c r="F5836" s="2">
        <v>1</v>
      </c>
      <c r="G5836" s="2"/>
    </row>
    <row r="5837" spans="1:26" customHeight="1" ht="35" hidden="true" outlineLevel="3">
      <c r="A5837" s="5" t="s">
        <v>11063</v>
      </c>
      <c r="B5837" s="5"/>
      <c r="C5837" s="5"/>
      <c r="D5837" s="5"/>
      <c r="E5837" s="5"/>
      <c r="F5837" s="5"/>
      <c r="G5837" s="5"/>
    </row>
    <row r="5838" spans="1:26" customHeight="1" ht="36" hidden="true" outlineLevel="3">
      <c r="A5838" s="2" t="s">
        <v>11064</v>
      </c>
      <c r="B5838" s="3" t="s">
        <v>11065</v>
      </c>
      <c r="C5838" s="2"/>
      <c r="D5838" s="2" t="s">
        <v>16</v>
      </c>
      <c r="E5838" s="4">
        <f>59.99*(1-Z1%)</f>
        <v>59.99</v>
      </c>
      <c r="F5838" s="2">
        <v>15</v>
      </c>
      <c r="G5838" s="2"/>
    </row>
    <row r="5839" spans="1:26" customHeight="1" ht="36" hidden="true" outlineLevel="3">
      <c r="A5839" s="2" t="s">
        <v>11066</v>
      </c>
      <c r="B5839" s="3" t="s">
        <v>11067</v>
      </c>
      <c r="C5839" s="2"/>
      <c r="D5839" s="2" t="s">
        <v>16</v>
      </c>
      <c r="E5839" s="4">
        <f>67.66*(1-Z1%)</f>
        <v>67.66</v>
      </c>
      <c r="F5839" s="2">
        <v>1</v>
      </c>
      <c r="G5839" s="2"/>
    </row>
    <row r="5840" spans="1:26" customHeight="1" ht="36" hidden="true" outlineLevel="3">
      <c r="A5840" s="2" t="s">
        <v>11068</v>
      </c>
      <c r="B5840" s="3" t="s">
        <v>11069</v>
      </c>
      <c r="C5840" s="2"/>
      <c r="D5840" s="2" t="s">
        <v>16</v>
      </c>
      <c r="E5840" s="4">
        <f>261.82*(1-Z1%)</f>
        <v>261.82</v>
      </c>
      <c r="F5840" s="2">
        <v>4</v>
      </c>
      <c r="G5840" s="2"/>
    </row>
    <row r="5841" spans="1:26" customHeight="1" ht="18" hidden="true" outlineLevel="3">
      <c r="A5841" s="2" t="s">
        <v>11070</v>
      </c>
      <c r="B5841" s="3" t="s">
        <v>11071</v>
      </c>
      <c r="C5841" s="2"/>
      <c r="D5841" s="2" t="s">
        <v>16</v>
      </c>
      <c r="E5841" s="4">
        <f>113.72*(1-Z1%)</f>
        <v>113.72</v>
      </c>
      <c r="F5841" s="2">
        <v>9</v>
      </c>
      <c r="G5841" s="2"/>
    </row>
    <row r="5842" spans="1:26" customHeight="1" ht="35" hidden="true" outlineLevel="2">
      <c r="A5842" s="5" t="s">
        <v>11072</v>
      </c>
      <c r="B5842" s="5"/>
      <c r="C5842" s="5"/>
      <c r="D5842" s="5"/>
      <c r="E5842" s="5"/>
      <c r="F5842" s="5"/>
      <c r="G5842" s="5"/>
    </row>
    <row r="5843" spans="1:26" customHeight="1" ht="35" hidden="true" outlineLevel="3">
      <c r="A5843" s="5" t="s">
        <v>11073</v>
      </c>
      <c r="B5843" s="5"/>
      <c r="C5843" s="5"/>
      <c r="D5843" s="5"/>
      <c r="E5843" s="5"/>
      <c r="F5843" s="5"/>
      <c r="G5843" s="5"/>
    </row>
    <row r="5844" spans="1:26" customHeight="1" ht="35" hidden="true" outlineLevel="4">
      <c r="A5844" s="5" t="s">
        <v>11074</v>
      </c>
      <c r="B5844" s="5"/>
      <c r="C5844" s="5"/>
      <c r="D5844" s="5"/>
      <c r="E5844" s="5"/>
      <c r="F5844" s="5"/>
      <c r="G5844" s="5"/>
    </row>
    <row r="5845" spans="1:26" customHeight="1" ht="36" hidden="true" outlineLevel="4">
      <c r="A5845" s="2" t="s">
        <v>11075</v>
      </c>
      <c r="B5845" s="3" t="s">
        <v>11076</v>
      </c>
      <c r="C5845" s="2"/>
      <c r="D5845" s="2" t="s">
        <v>16</v>
      </c>
      <c r="E5845" s="4">
        <f>884.14*(1-Z1%)</f>
        <v>884.14</v>
      </c>
      <c r="F5845" s="2">
        <v>3</v>
      </c>
      <c r="G5845" s="2"/>
    </row>
    <row r="5846" spans="1:26" customHeight="1" ht="36" hidden="true" outlineLevel="4">
      <c r="A5846" s="2" t="s">
        <v>11077</v>
      </c>
      <c r="B5846" s="3" t="s">
        <v>11078</v>
      </c>
      <c r="C5846" s="2"/>
      <c r="D5846" s="2" t="s">
        <v>16</v>
      </c>
      <c r="E5846" s="4">
        <f>795.22*(1-Z1%)</f>
        <v>795.22</v>
      </c>
      <c r="F5846" s="2">
        <v>4</v>
      </c>
      <c r="G5846" s="2"/>
    </row>
    <row r="5847" spans="1:26" customHeight="1" ht="18" hidden="true" outlineLevel="4">
      <c r="A5847" s="2" t="s">
        <v>11079</v>
      </c>
      <c r="B5847" s="3" t="s">
        <v>11080</v>
      </c>
      <c r="C5847" s="2"/>
      <c r="D5847" s="2" t="s">
        <v>16</v>
      </c>
      <c r="E5847" s="4">
        <f>168.19*(1-Z1%)</f>
        <v>168.19</v>
      </c>
      <c r="F5847" s="2">
        <v>3</v>
      </c>
      <c r="G5847" s="2"/>
    </row>
    <row r="5848" spans="1:26" customHeight="1" ht="18" hidden="true" outlineLevel="4">
      <c r="A5848" s="2" t="s">
        <v>11081</v>
      </c>
      <c r="B5848" s="3" t="s">
        <v>11082</v>
      </c>
      <c r="C5848" s="2"/>
      <c r="D5848" s="2" t="s">
        <v>16</v>
      </c>
      <c r="E5848" s="4">
        <f>186.86*(1-Z1%)</f>
        <v>186.86</v>
      </c>
      <c r="F5848" s="2">
        <v>7</v>
      </c>
      <c r="G5848" s="2"/>
    </row>
    <row r="5849" spans="1:26" customHeight="1" ht="36" hidden="true" outlineLevel="4">
      <c r="A5849" s="2" t="s">
        <v>11083</v>
      </c>
      <c r="B5849" s="3" t="s">
        <v>11084</v>
      </c>
      <c r="C5849" s="2"/>
      <c r="D5849" s="2" t="s">
        <v>16</v>
      </c>
      <c r="E5849" s="4">
        <f>176.92*(1-Z1%)</f>
        <v>176.92</v>
      </c>
      <c r="F5849" s="2">
        <v>4</v>
      </c>
      <c r="G5849" s="2"/>
    </row>
    <row r="5850" spans="1:26" customHeight="1" ht="36" hidden="true" outlineLevel="4">
      <c r="A5850" s="2" t="s">
        <v>11085</v>
      </c>
      <c r="B5850" s="3" t="s">
        <v>11086</v>
      </c>
      <c r="C5850" s="2"/>
      <c r="D5850" s="2" t="s">
        <v>16</v>
      </c>
      <c r="E5850" s="4">
        <f>519.91*(1-Z1%)</f>
        <v>519.91</v>
      </c>
      <c r="F5850" s="2">
        <v>4</v>
      </c>
      <c r="G5850" s="2"/>
    </row>
    <row r="5851" spans="1:26" customHeight="1" ht="36" hidden="true" outlineLevel="4">
      <c r="A5851" s="2" t="s">
        <v>11087</v>
      </c>
      <c r="B5851" s="3" t="s">
        <v>11088</v>
      </c>
      <c r="C5851" s="2"/>
      <c r="D5851" s="2" t="s">
        <v>16</v>
      </c>
      <c r="E5851" s="4">
        <f>589.00*(1-Z1%)</f>
        <v>589</v>
      </c>
      <c r="F5851" s="2">
        <v>1</v>
      </c>
      <c r="G5851" s="2"/>
    </row>
    <row r="5852" spans="1:26" customHeight="1" ht="36" hidden="true" outlineLevel="4">
      <c r="A5852" s="2" t="s">
        <v>11089</v>
      </c>
      <c r="B5852" s="3" t="s">
        <v>11090</v>
      </c>
      <c r="C5852" s="2"/>
      <c r="D5852" s="2" t="s">
        <v>16</v>
      </c>
      <c r="E5852" s="4">
        <f>351.88*(1-Z1%)</f>
        <v>351.88</v>
      </c>
      <c r="F5852" s="2">
        <v>1</v>
      </c>
      <c r="G5852" s="2"/>
    </row>
    <row r="5853" spans="1:26" customHeight="1" ht="36" hidden="true" outlineLevel="4">
      <c r="A5853" s="2" t="s">
        <v>11091</v>
      </c>
      <c r="B5853" s="3" t="s">
        <v>11092</v>
      </c>
      <c r="C5853" s="2"/>
      <c r="D5853" s="2" t="s">
        <v>16</v>
      </c>
      <c r="E5853" s="4">
        <f>2709.32*(1-Z1%)</f>
        <v>2709.32</v>
      </c>
      <c r="F5853" s="2">
        <v>1</v>
      </c>
      <c r="G5853" s="2"/>
    </row>
    <row r="5854" spans="1:26" customHeight="1" ht="36" hidden="true" outlineLevel="4">
      <c r="A5854" s="2" t="s">
        <v>11093</v>
      </c>
      <c r="B5854" s="3" t="s">
        <v>11094</v>
      </c>
      <c r="C5854" s="2"/>
      <c r="D5854" s="2" t="s">
        <v>16</v>
      </c>
      <c r="E5854" s="4">
        <f>3597.74*(1-Z1%)</f>
        <v>3597.74</v>
      </c>
      <c r="F5854" s="2">
        <v>1</v>
      </c>
      <c r="G5854" s="2"/>
    </row>
    <row r="5855" spans="1:26" customHeight="1" ht="18" hidden="true" outlineLevel="4">
      <c r="A5855" s="2" t="s">
        <v>11095</v>
      </c>
      <c r="B5855" s="3" t="s">
        <v>11096</v>
      </c>
      <c r="C5855" s="2"/>
      <c r="D5855" s="2" t="s">
        <v>16</v>
      </c>
      <c r="E5855" s="4">
        <f>226.71*(1-Z1%)</f>
        <v>226.71</v>
      </c>
      <c r="F5855" s="2">
        <v>5</v>
      </c>
      <c r="G5855" s="2"/>
    </row>
    <row r="5856" spans="1:26" customHeight="1" ht="36" hidden="true" outlineLevel="4">
      <c r="A5856" s="2" t="s">
        <v>11097</v>
      </c>
      <c r="B5856" s="3" t="s">
        <v>11098</v>
      </c>
      <c r="C5856" s="2"/>
      <c r="D5856" s="2" t="s">
        <v>16</v>
      </c>
      <c r="E5856" s="4">
        <f>251.87*(1-Z1%)</f>
        <v>251.87</v>
      </c>
      <c r="F5856" s="2">
        <v>6</v>
      </c>
      <c r="G5856" s="2"/>
    </row>
    <row r="5857" spans="1:26" customHeight="1" ht="36" hidden="true" outlineLevel="4">
      <c r="A5857" s="2" t="s">
        <v>11099</v>
      </c>
      <c r="B5857" s="3" t="s">
        <v>11100</v>
      </c>
      <c r="C5857" s="2"/>
      <c r="D5857" s="2" t="s">
        <v>16</v>
      </c>
      <c r="E5857" s="4">
        <f>217.22*(1-Z1%)</f>
        <v>217.22</v>
      </c>
      <c r="F5857" s="2">
        <v>4</v>
      </c>
      <c r="G5857" s="2"/>
    </row>
    <row r="5858" spans="1:26" customHeight="1" ht="36" hidden="true" outlineLevel="4">
      <c r="A5858" s="2" t="s">
        <v>11101</v>
      </c>
      <c r="B5858" s="3" t="s">
        <v>11102</v>
      </c>
      <c r="C5858" s="2"/>
      <c r="D5858" s="2" t="s">
        <v>16</v>
      </c>
      <c r="E5858" s="4">
        <f>593.85*(1-Z1%)</f>
        <v>593.85</v>
      </c>
      <c r="F5858" s="2">
        <v>4</v>
      </c>
      <c r="G5858" s="2"/>
    </row>
    <row r="5859" spans="1:26" customHeight="1" ht="36" hidden="true" outlineLevel="4">
      <c r="A5859" s="2" t="s">
        <v>11103</v>
      </c>
      <c r="B5859" s="3" t="s">
        <v>11104</v>
      </c>
      <c r="C5859" s="2"/>
      <c r="D5859" s="2" t="s">
        <v>16</v>
      </c>
      <c r="E5859" s="4">
        <f>638.36*(1-Z1%)</f>
        <v>638.36</v>
      </c>
      <c r="F5859" s="2">
        <v>3</v>
      </c>
      <c r="G5859" s="2"/>
    </row>
    <row r="5860" spans="1:26" customHeight="1" ht="18" hidden="true" outlineLevel="4">
      <c r="A5860" s="2" t="s">
        <v>11105</v>
      </c>
      <c r="B5860" s="3" t="s">
        <v>11106</v>
      </c>
      <c r="C5860" s="2"/>
      <c r="D5860" s="2" t="s">
        <v>16</v>
      </c>
      <c r="E5860" s="4">
        <f>268.74*(1-Z1%)</f>
        <v>268.74</v>
      </c>
      <c r="F5860" s="2">
        <v>5</v>
      </c>
      <c r="G5860" s="2"/>
    </row>
    <row r="5861" spans="1:26" customHeight="1" ht="36" hidden="true" outlineLevel="4">
      <c r="A5861" s="2" t="s">
        <v>11107</v>
      </c>
      <c r="B5861" s="3" t="s">
        <v>11108</v>
      </c>
      <c r="C5861" s="2"/>
      <c r="D5861" s="2" t="s">
        <v>16</v>
      </c>
      <c r="E5861" s="4">
        <f>298.58*(1-Z1%)</f>
        <v>298.58</v>
      </c>
      <c r="F5861" s="2">
        <v>2</v>
      </c>
      <c r="G5861" s="2"/>
    </row>
    <row r="5862" spans="1:26" customHeight="1" ht="36" hidden="true" outlineLevel="4">
      <c r="A5862" s="2" t="s">
        <v>11109</v>
      </c>
      <c r="B5862" s="3" t="s">
        <v>11110</v>
      </c>
      <c r="C5862" s="2"/>
      <c r="D5862" s="2" t="s">
        <v>16</v>
      </c>
      <c r="E5862" s="4">
        <f>800.18*(1-Z1%)</f>
        <v>800.18</v>
      </c>
      <c r="F5862" s="2">
        <v>4</v>
      </c>
      <c r="G5862" s="2"/>
    </row>
    <row r="5863" spans="1:26" customHeight="1" ht="36" hidden="true" outlineLevel="4">
      <c r="A5863" s="2" t="s">
        <v>11111</v>
      </c>
      <c r="B5863" s="3" t="s">
        <v>11112</v>
      </c>
      <c r="C5863" s="2"/>
      <c r="D5863" s="2" t="s">
        <v>16</v>
      </c>
      <c r="E5863" s="4">
        <f>466.97*(1-Z1%)</f>
        <v>466.97</v>
      </c>
      <c r="F5863" s="2">
        <v>5</v>
      </c>
      <c r="G5863" s="2"/>
    </row>
    <row r="5864" spans="1:26" customHeight="1" ht="18" hidden="true" outlineLevel="4">
      <c r="A5864" s="2" t="s">
        <v>11113</v>
      </c>
      <c r="B5864" s="3" t="s">
        <v>11114</v>
      </c>
      <c r="C5864" s="2"/>
      <c r="D5864" s="2" t="s">
        <v>16</v>
      </c>
      <c r="E5864" s="4">
        <f>480.38*(1-Z1%)</f>
        <v>480.38</v>
      </c>
      <c r="F5864" s="2">
        <v>5</v>
      </c>
      <c r="G5864" s="2"/>
    </row>
    <row r="5865" spans="1:26" customHeight="1" ht="36" hidden="true" outlineLevel="4">
      <c r="A5865" s="2" t="s">
        <v>11115</v>
      </c>
      <c r="B5865" s="3" t="s">
        <v>11116</v>
      </c>
      <c r="C5865" s="2"/>
      <c r="D5865" s="2" t="s">
        <v>16</v>
      </c>
      <c r="E5865" s="4">
        <f>957.84*(1-Z1%)</f>
        <v>957.84</v>
      </c>
      <c r="F5865" s="2">
        <v>5</v>
      </c>
      <c r="G5865" s="2"/>
    </row>
    <row r="5866" spans="1:26" customHeight="1" ht="18" hidden="true" outlineLevel="4">
      <c r="A5866" s="2" t="s">
        <v>11117</v>
      </c>
      <c r="B5866" s="3" t="s">
        <v>11118</v>
      </c>
      <c r="C5866" s="2"/>
      <c r="D5866" s="2" t="s">
        <v>16</v>
      </c>
      <c r="E5866" s="4">
        <f>438.75*(1-Z1%)</f>
        <v>438.75</v>
      </c>
      <c r="F5866" s="2">
        <v>2</v>
      </c>
      <c r="G5866" s="2"/>
    </row>
    <row r="5867" spans="1:26" customHeight="1" ht="36" hidden="true" outlineLevel="4">
      <c r="A5867" s="2" t="s">
        <v>11119</v>
      </c>
      <c r="B5867" s="3" t="s">
        <v>11120</v>
      </c>
      <c r="C5867" s="2"/>
      <c r="D5867" s="2" t="s">
        <v>16</v>
      </c>
      <c r="E5867" s="4">
        <f>625.39*(1-Z1%)</f>
        <v>625.39</v>
      </c>
      <c r="F5867" s="2">
        <v>3</v>
      </c>
      <c r="G5867" s="2"/>
    </row>
    <row r="5868" spans="1:26" customHeight="1" ht="36" hidden="true" outlineLevel="4">
      <c r="A5868" s="2" t="s">
        <v>11121</v>
      </c>
      <c r="B5868" s="3" t="s">
        <v>11122</v>
      </c>
      <c r="C5868" s="2"/>
      <c r="D5868" s="2" t="s">
        <v>16</v>
      </c>
      <c r="E5868" s="4">
        <f>1329.79*(1-Z1%)</f>
        <v>1329.79</v>
      </c>
      <c r="F5868" s="2">
        <v>3</v>
      </c>
      <c r="G5868" s="2"/>
    </row>
    <row r="5869" spans="1:26" customHeight="1" ht="35" hidden="true" outlineLevel="3">
      <c r="A5869" s="5" t="s">
        <v>11123</v>
      </c>
      <c r="B5869" s="5"/>
      <c r="C5869" s="5"/>
      <c r="D5869" s="5"/>
      <c r="E5869" s="5"/>
      <c r="F5869" s="5"/>
      <c r="G5869" s="5"/>
    </row>
    <row r="5870" spans="1:26" customHeight="1" ht="36" hidden="true" outlineLevel="3">
      <c r="A5870" s="2" t="s">
        <v>11124</v>
      </c>
      <c r="B5870" s="3" t="s">
        <v>11125</v>
      </c>
      <c r="C5870" s="2"/>
      <c r="D5870" s="2" t="s">
        <v>16</v>
      </c>
      <c r="E5870" s="4">
        <f>431.89*(1-Z1%)</f>
        <v>431.89</v>
      </c>
      <c r="F5870" s="2">
        <v>1</v>
      </c>
      <c r="G5870" s="2"/>
    </row>
    <row r="5871" spans="1:26" customHeight="1" ht="36" hidden="true" outlineLevel="3">
      <c r="A5871" s="2" t="s">
        <v>11126</v>
      </c>
      <c r="B5871" s="3" t="s">
        <v>11127</v>
      </c>
      <c r="C5871" s="2"/>
      <c r="D5871" s="2" t="s">
        <v>16</v>
      </c>
      <c r="E5871" s="4">
        <f>379.18*(1-Z1%)</f>
        <v>379.18</v>
      </c>
      <c r="F5871" s="2">
        <v>2</v>
      </c>
      <c r="G5871" s="2"/>
    </row>
    <row r="5872" spans="1:26" customHeight="1" ht="36" hidden="true" outlineLevel="3">
      <c r="A5872" s="2" t="s">
        <v>11128</v>
      </c>
      <c r="B5872" s="3" t="s">
        <v>11129</v>
      </c>
      <c r="C5872" s="2"/>
      <c r="D5872" s="2" t="s">
        <v>16</v>
      </c>
      <c r="E5872" s="4">
        <f>379.18*(1-Z1%)</f>
        <v>379.18</v>
      </c>
      <c r="F5872" s="2">
        <v>3</v>
      </c>
      <c r="G5872" s="2"/>
    </row>
    <row r="5873" spans="1:26" customHeight="1" ht="36" hidden="true" outlineLevel="3">
      <c r="A5873" s="2" t="s">
        <v>11130</v>
      </c>
      <c r="B5873" s="3" t="s">
        <v>11131</v>
      </c>
      <c r="C5873" s="2"/>
      <c r="D5873" s="2" t="s">
        <v>16</v>
      </c>
      <c r="E5873" s="4">
        <f>203.38*(1-Z1%)</f>
        <v>203.38</v>
      </c>
      <c r="F5873" s="2">
        <v>1</v>
      </c>
      <c r="G5873" s="2"/>
    </row>
    <row r="5874" spans="1:26" customHeight="1" ht="35" hidden="true" outlineLevel="2">
      <c r="A5874" s="5" t="s">
        <v>11132</v>
      </c>
      <c r="B5874" s="5"/>
      <c r="C5874" s="5"/>
      <c r="D5874" s="5"/>
      <c r="E5874" s="5"/>
      <c r="F5874" s="5"/>
      <c r="G5874" s="5"/>
    </row>
    <row r="5875" spans="1:26" customHeight="1" ht="35" hidden="true" outlineLevel="3">
      <c r="A5875" s="5" t="s">
        <v>11133</v>
      </c>
      <c r="B5875" s="5"/>
      <c r="C5875" s="5"/>
      <c r="D5875" s="5"/>
      <c r="E5875" s="5"/>
      <c r="F5875" s="5"/>
      <c r="G5875" s="5"/>
    </row>
    <row r="5876" spans="1:26" customHeight="1" ht="36" hidden="true" outlineLevel="3">
      <c r="A5876" s="2" t="s">
        <v>11134</v>
      </c>
      <c r="B5876" s="3" t="s">
        <v>11135</v>
      </c>
      <c r="C5876" s="2"/>
      <c r="D5876" s="2" t="s">
        <v>16</v>
      </c>
      <c r="E5876" s="4">
        <f>216.57*(1-Z1%)</f>
        <v>216.57</v>
      </c>
      <c r="F5876" s="2">
        <v>3</v>
      </c>
      <c r="G5876" s="2"/>
    </row>
    <row r="5877" spans="1:26" customHeight="1" ht="36" hidden="true" outlineLevel="3">
      <c r="A5877" s="2" t="s">
        <v>11136</v>
      </c>
      <c r="B5877" s="3" t="s">
        <v>11137</v>
      </c>
      <c r="C5877" s="2"/>
      <c r="D5877" s="2" t="s">
        <v>16</v>
      </c>
      <c r="E5877" s="4">
        <f>216.57*(1-Z1%)</f>
        <v>216.57</v>
      </c>
      <c r="F5877" s="2">
        <v>1</v>
      </c>
      <c r="G5877" s="2"/>
    </row>
    <row r="5878" spans="1:26" customHeight="1" ht="36" hidden="true" outlineLevel="3">
      <c r="A5878" s="2" t="s">
        <v>11138</v>
      </c>
      <c r="B5878" s="3" t="s">
        <v>11139</v>
      </c>
      <c r="C5878" s="2"/>
      <c r="D5878" s="2" t="s">
        <v>16</v>
      </c>
      <c r="E5878" s="4">
        <f>148.50*(1-Z1%)</f>
        <v>148.5</v>
      </c>
      <c r="F5878" s="2">
        <v>8</v>
      </c>
      <c r="G5878" s="2"/>
    </row>
    <row r="5879" spans="1:26" customHeight="1" ht="36" hidden="true" outlineLevel="3">
      <c r="A5879" s="2" t="s">
        <v>11140</v>
      </c>
      <c r="B5879" s="3" t="s">
        <v>11141</v>
      </c>
      <c r="C5879" s="2"/>
      <c r="D5879" s="2" t="s">
        <v>16</v>
      </c>
      <c r="E5879" s="4">
        <f>235.13*(1-Z1%)</f>
        <v>235.13</v>
      </c>
      <c r="F5879" s="2">
        <v>11</v>
      </c>
      <c r="G5879" s="2"/>
    </row>
    <row r="5880" spans="1:26" customHeight="1" ht="35" hidden="true" outlineLevel="3">
      <c r="A5880" s="5" t="s">
        <v>11142</v>
      </c>
      <c r="B5880" s="5"/>
      <c r="C5880" s="5"/>
      <c r="D5880" s="5"/>
      <c r="E5880" s="5"/>
      <c r="F5880" s="5"/>
      <c r="G5880" s="5"/>
    </row>
    <row r="5881" spans="1:26" customHeight="1" ht="36" hidden="true" outlineLevel="3">
      <c r="A5881" s="2" t="s">
        <v>11143</v>
      </c>
      <c r="B5881" s="3" t="s">
        <v>11144</v>
      </c>
      <c r="C5881" s="2"/>
      <c r="D5881" s="2" t="s">
        <v>16</v>
      </c>
      <c r="E5881" s="4">
        <f>248.45*(1-Z1%)</f>
        <v>248.45</v>
      </c>
      <c r="F5881" s="2">
        <v>10</v>
      </c>
      <c r="G5881" s="2"/>
    </row>
    <row r="5882" spans="1:26" customHeight="1" ht="36" hidden="true" outlineLevel="3">
      <c r="A5882" s="2" t="s">
        <v>11145</v>
      </c>
      <c r="B5882" s="3" t="s">
        <v>11146</v>
      </c>
      <c r="C5882" s="2"/>
      <c r="D5882" s="2" t="s">
        <v>16</v>
      </c>
      <c r="E5882" s="4">
        <f>325.89*(1-Z1%)</f>
        <v>325.89</v>
      </c>
      <c r="F5882" s="2">
        <v>10</v>
      </c>
      <c r="G5882" s="2"/>
    </row>
    <row r="5883" spans="1:26" customHeight="1" ht="36" hidden="true" outlineLevel="3">
      <c r="A5883" s="2" t="s">
        <v>11147</v>
      </c>
      <c r="B5883" s="3" t="s">
        <v>11148</v>
      </c>
      <c r="C5883" s="2"/>
      <c r="D5883" s="2" t="s">
        <v>16</v>
      </c>
      <c r="E5883" s="4">
        <f>256.61*(1-Z1%)</f>
        <v>256.61</v>
      </c>
      <c r="F5883" s="2">
        <v>2</v>
      </c>
      <c r="G5883" s="2"/>
    </row>
    <row r="5884" spans="1:26" customHeight="1" ht="35" hidden="true" outlineLevel="3">
      <c r="A5884" s="5" t="s">
        <v>11149</v>
      </c>
      <c r="B5884" s="5"/>
      <c r="C5884" s="5"/>
      <c r="D5884" s="5"/>
      <c r="E5884" s="5"/>
      <c r="F5884" s="5"/>
      <c r="G5884" s="5"/>
    </row>
    <row r="5885" spans="1:26" customHeight="1" ht="35" hidden="true" outlineLevel="4">
      <c r="A5885" s="5" t="s">
        <v>11150</v>
      </c>
      <c r="B5885" s="5"/>
      <c r="C5885" s="5"/>
      <c r="D5885" s="5"/>
      <c r="E5885" s="5"/>
      <c r="F5885" s="5"/>
      <c r="G5885" s="5"/>
    </row>
    <row r="5886" spans="1:26" customHeight="1" ht="36" hidden="true" outlineLevel="4">
      <c r="A5886" s="2" t="s">
        <v>11151</v>
      </c>
      <c r="B5886" s="3" t="s">
        <v>11152</v>
      </c>
      <c r="C5886" s="2"/>
      <c r="D5886" s="2" t="s">
        <v>16</v>
      </c>
      <c r="E5886" s="4">
        <f>140.22*(1-Z1%)</f>
        <v>140.22</v>
      </c>
      <c r="F5886" s="2">
        <v>1</v>
      </c>
      <c r="G5886" s="2"/>
    </row>
    <row r="5887" spans="1:26" customHeight="1" ht="36" hidden="true" outlineLevel="4">
      <c r="A5887" s="2" t="s">
        <v>11153</v>
      </c>
      <c r="B5887" s="3" t="s">
        <v>11154</v>
      </c>
      <c r="C5887" s="2"/>
      <c r="D5887" s="2" t="s">
        <v>16</v>
      </c>
      <c r="E5887" s="4">
        <f>136.56*(1-Z1%)</f>
        <v>136.56</v>
      </c>
      <c r="F5887" s="2">
        <v>2</v>
      </c>
      <c r="G5887" s="2"/>
    </row>
    <row r="5888" spans="1:26" customHeight="1" ht="36" hidden="true" outlineLevel="4">
      <c r="A5888" s="2" t="s">
        <v>11155</v>
      </c>
      <c r="B5888" s="3" t="s">
        <v>11156</v>
      </c>
      <c r="C5888" s="2"/>
      <c r="D5888" s="2" t="s">
        <v>16</v>
      </c>
      <c r="E5888" s="4">
        <f>182.00*(1-Z1%)</f>
        <v>182</v>
      </c>
      <c r="F5888" s="2">
        <v>2</v>
      </c>
      <c r="G5888" s="2"/>
    </row>
    <row r="5889" spans="1:26" customHeight="1" ht="36" hidden="true" outlineLevel="4">
      <c r="A5889" s="2" t="s">
        <v>11157</v>
      </c>
      <c r="B5889" s="3" t="s">
        <v>11158</v>
      </c>
      <c r="C5889" s="2"/>
      <c r="D5889" s="2" t="s">
        <v>16</v>
      </c>
      <c r="E5889" s="4">
        <f>302.29*(1-Z1%)</f>
        <v>302.29</v>
      </c>
      <c r="F5889" s="2">
        <v>1</v>
      </c>
      <c r="G5889" s="2"/>
    </row>
    <row r="5890" spans="1:26" customHeight="1" ht="36" hidden="true" outlineLevel="4">
      <c r="A5890" s="2" t="s">
        <v>11159</v>
      </c>
      <c r="B5890" s="3" t="s">
        <v>11160</v>
      </c>
      <c r="C5890" s="2"/>
      <c r="D5890" s="2" t="s">
        <v>16</v>
      </c>
      <c r="E5890" s="4">
        <f>159.46*(1-Z1%)</f>
        <v>159.46</v>
      </c>
      <c r="F5890" s="2">
        <v>2</v>
      </c>
      <c r="G5890" s="2"/>
    </row>
    <row r="5891" spans="1:26" customHeight="1" ht="36" hidden="true" outlineLevel="4">
      <c r="A5891" s="2" t="s">
        <v>11161</v>
      </c>
      <c r="B5891" s="3" t="s">
        <v>11162</v>
      </c>
      <c r="C5891" s="2"/>
      <c r="D5891" s="2" t="s">
        <v>16</v>
      </c>
      <c r="E5891" s="4">
        <f>285.62*(1-Z1%)</f>
        <v>285.62</v>
      </c>
      <c r="F5891" s="2">
        <v>1</v>
      </c>
      <c r="G5891" s="2"/>
    </row>
    <row r="5892" spans="1:26" customHeight="1" ht="36" hidden="true" outlineLevel="4">
      <c r="A5892" s="2" t="s">
        <v>11163</v>
      </c>
      <c r="B5892" s="3" t="s">
        <v>11164</v>
      </c>
      <c r="C5892" s="2"/>
      <c r="D5892" s="2" t="s">
        <v>16</v>
      </c>
      <c r="E5892" s="4">
        <f>264.54*(1-Z1%)</f>
        <v>264.54</v>
      </c>
      <c r="F5892" s="2">
        <v>2</v>
      </c>
      <c r="G5892" s="2"/>
    </row>
    <row r="5893" spans="1:26" customHeight="1" ht="36" hidden="true" outlineLevel="4">
      <c r="A5893" s="2" t="s">
        <v>11165</v>
      </c>
      <c r="B5893" s="3" t="s">
        <v>11166</v>
      </c>
      <c r="C5893" s="2"/>
      <c r="D5893" s="2" t="s">
        <v>16</v>
      </c>
      <c r="E5893" s="4">
        <f>243.58*(1-Z1%)</f>
        <v>243.58</v>
      </c>
      <c r="F5893" s="2">
        <v>2</v>
      </c>
      <c r="G5893" s="2"/>
    </row>
    <row r="5894" spans="1:26" customHeight="1" ht="36" hidden="true" outlineLevel="4">
      <c r="A5894" s="2" t="s">
        <v>11167</v>
      </c>
      <c r="B5894" s="3" t="s">
        <v>11168</v>
      </c>
      <c r="C5894" s="2"/>
      <c r="D5894" s="2" t="s">
        <v>16</v>
      </c>
      <c r="E5894" s="4">
        <f>368.33*(1-Z1%)</f>
        <v>368.33</v>
      </c>
      <c r="F5894" s="2">
        <v>2</v>
      </c>
      <c r="G5894" s="2"/>
    </row>
    <row r="5895" spans="1:26" customHeight="1" ht="36" hidden="true" outlineLevel="4">
      <c r="A5895" s="2" t="s">
        <v>11169</v>
      </c>
      <c r="B5895" s="3" t="s">
        <v>11170</v>
      </c>
      <c r="C5895" s="2"/>
      <c r="D5895" s="2" t="s">
        <v>16</v>
      </c>
      <c r="E5895" s="4">
        <f>481.76*(1-Z1%)</f>
        <v>481.76</v>
      </c>
      <c r="F5895" s="2">
        <v>2</v>
      </c>
      <c r="G5895" s="2"/>
    </row>
    <row r="5896" spans="1:26" customHeight="1" ht="36" hidden="true" outlineLevel="4">
      <c r="A5896" s="2" t="s">
        <v>11171</v>
      </c>
      <c r="B5896" s="3" t="s">
        <v>11172</v>
      </c>
      <c r="C5896" s="2"/>
      <c r="D5896" s="2" t="s">
        <v>16</v>
      </c>
      <c r="E5896" s="4">
        <f>490.08*(1-Z1%)</f>
        <v>490.08</v>
      </c>
      <c r="F5896" s="2">
        <v>2</v>
      </c>
      <c r="G5896" s="2"/>
    </row>
    <row r="5897" spans="1:26" customHeight="1" ht="36" hidden="true" outlineLevel="4">
      <c r="A5897" s="2" t="s">
        <v>11173</v>
      </c>
      <c r="B5897" s="3" t="s">
        <v>11174</v>
      </c>
      <c r="C5897" s="2"/>
      <c r="D5897" s="2" t="s">
        <v>16</v>
      </c>
      <c r="E5897" s="4">
        <f>706.25*(1-Z1%)</f>
        <v>706.25</v>
      </c>
      <c r="F5897" s="2">
        <v>2</v>
      </c>
      <c r="G5897" s="2"/>
    </row>
    <row r="5898" spans="1:26" customHeight="1" ht="36" hidden="true" outlineLevel="4">
      <c r="A5898" s="2" t="s">
        <v>11175</v>
      </c>
      <c r="B5898" s="3" t="s">
        <v>11176</v>
      </c>
      <c r="C5898" s="2"/>
      <c r="D5898" s="2" t="s">
        <v>16</v>
      </c>
      <c r="E5898" s="4">
        <f>814.74*(1-Z1%)</f>
        <v>814.74</v>
      </c>
      <c r="F5898" s="2">
        <v>1</v>
      </c>
      <c r="G5898" s="2"/>
    </row>
    <row r="5899" spans="1:26" customHeight="1" ht="36" hidden="true" outlineLevel="4">
      <c r="A5899" s="2" t="s">
        <v>11177</v>
      </c>
      <c r="B5899" s="3" t="s">
        <v>11178</v>
      </c>
      <c r="C5899" s="2"/>
      <c r="D5899" s="2" t="s">
        <v>16</v>
      </c>
      <c r="E5899" s="4">
        <f>1129.28*(1-Z1%)</f>
        <v>1129.28</v>
      </c>
      <c r="F5899" s="2">
        <v>2</v>
      </c>
      <c r="G5899" s="2"/>
    </row>
    <row r="5900" spans="1:26" customHeight="1" ht="36" hidden="true" outlineLevel="4">
      <c r="A5900" s="2" t="s">
        <v>11179</v>
      </c>
      <c r="B5900" s="3" t="s">
        <v>11180</v>
      </c>
      <c r="C5900" s="2"/>
      <c r="D5900" s="2" t="s">
        <v>16</v>
      </c>
      <c r="E5900" s="4">
        <f>406.27*(1-Z1%)</f>
        <v>406.27</v>
      </c>
      <c r="F5900" s="2">
        <v>3</v>
      </c>
      <c r="G5900" s="2"/>
    </row>
    <row r="5901" spans="1:26" customHeight="1" ht="36" hidden="true" outlineLevel="4">
      <c r="A5901" s="2" t="s">
        <v>11181</v>
      </c>
      <c r="B5901" s="3" t="s">
        <v>11182</v>
      </c>
      <c r="C5901" s="2"/>
      <c r="D5901" s="2" t="s">
        <v>16</v>
      </c>
      <c r="E5901" s="4">
        <f>627.91*(1-Z1%)</f>
        <v>627.91</v>
      </c>
      <c r="F5901" s="2">
        <v>1</v>
      </c>
      <c r="G5901" s="2"/>
    </row>
    <row r="5902" spans="1:26" customHeight="1" ht="35" hidden="true" outlineLevel="4">
      <c r="A5902" s="5" t="s">
        <v>11183</v>
      </c>
      <c r="B5902" s="5"/>
      <c r="C5902" s="5"/>
      <c r="D5902" s="5"/>
      <c r="E5902" s="5"/>
      <c r="F5902" s="5"/>
      <c r="G5902" s="5"/>
    </row>
    <row r="5903" spans="1:26" customHeight="1" ht="36" hidden="true" outlineLevel="4">
      <c r="A5903" s="2" t="s">
        <v>11184</v>
      </c>
      <c r="B5903" s="3" t="s">
        <v>11185</v>
      </c>
      <c r="C5903" s="2"/>
      <c r="D5903" s="2" t="s">
        <v>16</v>
      </c>
      <c r="E5903" s="4">
        <f>14.37*(1-Z1%)</f>
        <v>14.37</v>
      </c>
      <c r="F5903" s="2">
        <v>9</v>
      </c>
      <c r="G5903" s="2"/>
    </row>
    <row r="5904" spans="1:26" customHeight="1" ht="35" hidden="true" outlineLevel="4">
      <c r="A5904" s="5" t="s">
        <v>11186</v>
      </c>
      <c r="B5904" s="5"/>
      <c r="C5904" s="5"/>
      <c r="D5904" s="5"/>
      <c r="E5904" s="5"/>
      <c r="F5904" s="5"/>
      <c r="G5904" s="5"/>
    </row>
    <row r="5905" spans="1:26" customHeight="1" ht="36" hidden="true" outlineLevel="4">
      <c r="A5905" s="2" t="s">
        <v>11187</v>
      </c>
      <c r="B5905" s="3" t="s">
        <v>11188</v>
      </c>
      <c r="C5905" s="2"/>
      <c r="D5905" s="2" t="s">
        <v>16</v>
      </c>
      <c r="E5905" s="4">
        <f>177.81*(1-Z1%)</f>
        <v>177.81</v>
      </c>
      <c r="F5905" s="2">
        <v>1</v>
      </c>
      <c r="G5905" s="2"/>
    </row>
    <row r="5906" spans="1:26" customHeight="1" ht="54" hidden="true" outlineLevel="4">
      <c r="A5906" s="2" t="s">
        <v>11189</v>
      </c>
      <c r="B5906" s="3" t="s">
        <v>11190</v>
      </c>
      <c r="C5906" s="2"/>
      <c r="D5906" s="2" t="s">
        <v>16</v>
      </c>
      <c r="E5906" s="4">
        <f>751.27*(1-Z1%)</f>
        <v>751.27</v>
      </c>
      <c r="F5906" s="2">
        <v>1</v>
      </c>
      <c r="G5906" s="2"/>
    </row>
    <row r="5907" spans="1:26" customHeight="1" ht="35" hidden="true" outlineLevel="4">
      <c r="A5907" s="5" t="s">
        <v>11191</v>
      </c>
      <c r="B5907" s="5"/>
      <c r="C5907" s="5"/>
      <c r="D5907" s="5"/>
      <c r="E5907" s="5"/>
      <c r="F5907" s="5"/>
      <c r="G5907" s="5"/>
    </row>
    <row r="5908" spans="1:26" customHeight="1" ht="36" hidden="true" outlineLevel="4">
      <c r="A5908" s="2" t="s">
        <v>11192</v>
      </c>
      <c r="B5908" s="3" t="s">
        <v>11193</v>
      </c>
      <c r="C5908" s="2"/>
      <c r="D5908" s="2" t="s">
        <v>16</v>
      </c>
      <c r="E5908" s="4">
        <f>53.34*(1-Z1%)</f>
        <v>53.34</v>
      </c>
      <c r="F5908" s="2">
        <v>25</v>
      </c>
      <c r="G5908" s="2"/>
    </row>
    <row r="5909" spans="1:26" customHeight="1" ht="36" hidden="true" outlineLevel="4">
      <c r="A5909" s="2" t="s">
        <v>11194</v>
      </c>
      <c r="B5909" s="3" t="s">
        <v>11195</v>
      </c>
      <c r="C5909" s="2"/>
      <c r="D5909" s="2" t="s">
        <v>16</v>
      </c>
      <c r="E5909" s="4">
        <f>50.21*(1-Z1%)</f>
        <v>50.21</v>
      </c>
      <c r="F5909" s="2">
        <v>5</v>
      </c>
      <c r="G5909" s="2"/>
    </row>
    <row r="5910" spans="1:26" customHeight="1" ht="36" hidden="true" outlineLevel="4">
      <c r="A5910" s="2" t="s">
        <v>11196</v>
      </c>
      <c r="B5910" s="3" t="s">
        <v>11197</v>
      </c>
      <c r="C5910" s="2"/>
      <c r="D5910" s="2" t="s">
        <v>16</v>
      </c>
      <c r="E5910" s="4">
        <f>63.92*(1-Z1%)</f>
        <v>63.92</v>
      </c>
      <c r="F5910" s="2">
        <v>20</v>
      </c>
      <c r="G5910" s="2"/>
    </row>
    <row r="5911" spans="1:26" customHeight="1" ht="36" hidden="true" outlineLevel="4">
      <c r="A5911" s="2" t="s">
        <v>11198</v>
      </c>
      <c r="B5911" s="3" t="s">
        <v>11199</v>
      </c>
      <c r="C5911" s="2"/>
      <c r="D5911" s="2" t="s">
        <v>16</v>
      </c>
      <c r="E5911" s="4">
        <f>85.18*(1-Z1%)</f>
        <v>85.18</v>
      </c>
      <c r="F5911" s="2">
        <v>5</v>
      </c>
      <c r="G5911" s="2"/>
    </row>
    <row r="5912" spans="1:26" customHeight="1" ht="36" hidden="true" outlineLevel="4">
      <c r="A5912" s="2" t="s">
        <v>11200</v>
      </c>
      <c r="B5912" s="3" t="s">
        <v>11201</v>
      </c>
      <c r="C5912" s="2"/>
      <c r="D5912" s="2" t="s">
        <v>16</v>
      </c>
      <c r="E5912" s="4">
        <f>80.54*(1-Z1%)</f>
        <v>80.54</v>
      </c>
      <c r="F5912" s="2">
        <v>15</v>
      </c>
      <c r="G5912" s="2"/>
    </row>
    <row r="5913" spans="1:26" customHeight="1" ht="36" hidden="true" outlineLevel="4">
      <c r="A5913" s="2" t="s">
        <v>11202</v>
      </c>
      <c r="B5913" s="3" t="s">
        <v>11203</v>
      </c>
      <c r="C5913" s="2"/>
      <c r="D5913" s="2" t="s">
        <v>16</v>
      </c>
      <c r="E5913" s="4">
        <f>59.62*(1-Z1%)</f>
        <v>59.62</v>
      </c>
      <c r="F5913" s="2">
        <v>10</v>
      </c>
      <c r="G5913" s="2"/>
    </row>
    <row r="5914" spans="1:26" customHeight="1" ht="36" hidden="true" outlineLevel="4">
      <c r="A5914" s="2" t="s">
        <v>11204</v>
      </c>
      <c r="B5914" s="3" t="s">
        <v>11205</v>
      </c>
      <c r="C5914" s="2"/>
      <c r="D5914" s="2" t="s">
        <v>16</v>
      </c>
      <c r="E5914" s="4">
        <f>49.37*(1-Z1%)</f>
        <v>49.37</v>
      </c>
      <c r="F5914" s="2">
        <v>20</v>
      </c>
      <c r="G5914" s="2"/>
    </row>
    <row r="5915" spans="1:26" customHeight="1" ht="36" hidden="true" outlineLevel="4">
      <c r="A5915" s="2" t="s">
        <v>11206</v>
      </c>
      <c r="B5915" s="3" t="s">
        <v>11207</v>
      </c>
      <c r="C5915" s="2"/>
      <c r="D5915" s="2" t="s">
        <v>16</v>
      </c>
      <c r="E5915" s="4">
        <f>78.30*(1-Z1%)</f>
        <v>78.3</v>
      </c>
      <c r="F5915" s="2">
        <v>10</v>
      </c>
      <c r="G5915" s="2"/>
    </row>
    <row r="5916" spans="1:26" customHeight="1" ht="36" hidden="true" outlineLevel="4">
      <c r="A5916" s="2" t="s">
        <v>11208</v>
      </c>
      <c r="B5916" s="3" t="s">
        <v>11209</v>
      </c>
      <c r="C5916" s="2"/>
      <c r="D5916" s="2" t="s">
        <v>16</v>
      </c>
      <c r="E5916" s="4">
        <f>78.30*(1-Z1%)</f>
        <v>78.3</v>
      </c>
      <c r="F5916" s="2">
        <v>20</v>
      </c>
      <c r="G5916" s="2"/>
    </row>
    <row r="5917" spans="1:26" customHeight="1" ht="36" hidden="true" outlineLevel="4">
      <c r="A5917" s="2" t="s">
        <v>11210</v>
      </c>
      <c r="B5917" s="3" t="s">
        <v>11211</v>
      </c>
      <c r="C5917" s="2"/>
      <c r="D5917" s="2" t="s">
        <v>16</v>
      </c>
      <c r="E5917" s="4">
        <f>52.91*(1-Z1%)</f>
        <v>52.91</v>
      </c>
      <c r="F5917" s="2">
        <v>20</v>
      </c>
      <c r="G5917" s="2"/>
    </row>
    <row r="5918" spans="1:26" customHeight="1" ht="35" hidden="true" outlineLevel="3">
      <c r="A5918" s="5" t="s">
        <v>11212</v>
      </c>
      <c r="B5918" s="5"/>
      <c r="C5918" s="5"/>
      <c r="D5918" s="5"/>
      <c r="E5918" s="5"/>
      <c r="F5918" s="5"/>
      <c r="G5918" s="5"/>
    </row>
    <row r="5919" spans="1:26" customHeight="1" ht="35" hidden="true" outlineLevel="4">
      <c r="A5919" s="5" t="s">
        <v>11213</v>
      </c>
      <c r="B5919" s="5"/>
      <c r="C5919" s="5"/>
      <c r="D5919" s="5"/>
      <c r="E5919" s="5"/>
      <c r="F5919" s="5"/>
      <c r="G5919" s="5"/>
    </row>
    <row r="5920" spans="1:26" customHeight="1" ht="36" hidden="true" outlineLevel="4">
      <c r="A5920" s="2" t="s">
        <v>11214</v>
      </c>
      <c r="B5920" s="3" t="s">
        <v>11215</v>
      </c>
      <c r="C5920" s="2"/>
      <c r="D5920" s="2" t="s">
        <v>16</v>
      </c>
      <c r="E5920" s="4">
        <f>350.67*(1-Z1%)</f>
        <v>350.67</v>
      </c>
      <c r="F5920" s="2">
        <v>2</v>
      </c>
      <c r="G5920" s="2"/>
    </row>
    <row r="5921" spans="1:26" customHeight="1" ht="36" hidden="true" outlineLevel="4">
      <c r="A5921" s="2" t="s">
        <v>11216</v>
      </c>
      <c r="B5921" s="3" t="s">
        <v>11217</v>
      </c>
      <c r="C5921" s="2"/>
      <c r="D5921" s="2" t="s">
        <v>16</v>
      </c>
      <c r="E5921" s="4">
        <f>498.83*(1-Z1%)</f>
        <v>498.83</v>
      </c>
      <c r="F5921" s="2">
        <v>1</v>
      </c>
      <c r="G5921" s="2"/>
    </row>
    <row r="5922" spans="1:26" customHeight="1" ht="35" hidden="true" outlineLevel="3">
      <c r="A5922" s="5" t="s">
        <v>11218</v>
      </c>
      <c r="B5922" s="5"/>
      <c r="C5922" s="5"/>
      <c r="D5922" s="5"/>
      <c r="E5922" s="5"/>
      <c r="F5922" s="5"/>
      <c r="G5922" s="5"/>
    </row>
    <row r="5923" spans="1:26" customHeight="1" ht="35" hidden="true" outlineLevel="4">
      <c r="A5923" s="5" t="s">
        <v>11219</v>
      </c>
      <c r="B5923" s="5"/>
      <c r="C5923" s="5"/>
      <c r="D5923" s="5"/>
      <c r="E5923" s="5"/>
      <c r="F5923" s="5"/>
      <c r="G5923" s="5"/>
    </row>
    <row r="5924" spans="1:26" customHeight="1" ht="18" hidden="true" outlineLevel="4">
      <c r="A5924" s="2" t="s">
        <v>11220</v>
      </c>
      <c r="B5924" s="3" t="s">
        <v>11221</v>
      </c>
      <c r="C5924" s="2"/>
      <c r="D5924" s="2" t="s">
        <v>16</v>
      </c>
      <c r="E5924" s="4">
        <f>503.34*(1-Z1%)</f>
        <v>503.34</v>
      </c>
      <c r="F5924" s="2">
        <v>2</v>
      </c>
      <c r="G5924" s="2"/>
    </row>
    <row r="5925" spans="1:26" customHeight="1" ht="18" hidden="true" outlineLevel="4">
      <c r="A5925" s="2" t="s">
        <v>11222</v>
      </c>
      <c r="B5925" s="3" t="s">
        <v>11223</v>
      </c>
      <c r="C5925" s="2"/>
      <c r="D5925" s="2" t="s">
        <v>16</v>
      </c>
      <c r="E5925" s="4">
        <f>599.16*(1-Z1%)</f>
        <v>599.16</v>
      </c>
      <c r="F5925" s="2">
        <v>2</v>
      </c>
      <c r="G5925" s="2"/>
    </row>
    <row r="5926" spans="1:26" customHeight="1" ht="35" hidden="true" outlineLevel="3">
      <c r="A5926" s="5" t="s">
        <v>11224</v>
      </c>
      <c r="B5926" s="5"/>
      <c r="C5926" s="5"/>
      <c r="D5926" s="5"/>
      <c r="E5926" s="5"/>
      <c r="F5926" s="5"/>
      <c r="G5926" s="5"/>
    </row>
    <row r="5927" spans="1:26" customHeight="1" ht="36" hidden="true" outlineLevel="3">
      <c r="A5927" s="2" t="s">
        <v>11225</v>
      </c>
      <c r="B5927" s="3" t="s">
        <v>11226</v>
      </c>
      <c r="C5927" s="2"/>
      <c r="D5927" s="2" t="s">
        <v>16</v>
      </c>
      <c r="E5927" s="4">
        <f>126.40*(1-Z1%)</f>
        <v>126.4</v>
      </c>
      <c r="F5927" s="2">
        <v>3</v>
      </c>
      <c r="G5927" s="2"/>
    </row>
    <row r="5928" spans="1:26" customHeight="1" ht="36" hidden="true" outlineLevel="3">
      <c r="A5928" s="2" t="s">
        <v>11227</v>
      </c>
      <c r="B5928" s="3" t="s">
        <v>11228</v>
      </c>
      <c r="C5928" s="2"/>
      <c r="D5928" s="2" t="s">
        <v>16</v>
      </c>
      <c r="E5928" s="4">
        <f>180.57*(1-Z1%)</f>
        <v>180.57</v>
      </c>
      <c r="F5928" s="2">
        <v>4</v>
      </c>
      <c r="G5928" s="2"/>
    </row>
    <row r="5929" spans="1:26" customHeight="1" ht="36" hidden="true" outlineLevel="3">
      <c r="A5929" s="2" t="s">
        <v>11229</v>
      </c>
      <c r="B5929" s="3" t="s">
        <v>11230</v>
      </c>
      <c r="C5929" s="2"/>
      <c r="D5929" s="2" t="s">
        <v>16</v>
      </c>
      <c r="E5929" s="4">
        <f>180.57*(1-Z1%)</f>
        <v>180.57</v>
      </c>
      <c r="F5929" s="2">
        <v>1</v>
      </c>
      <c r="G5929" s="2"/>
    </row>
    <row r="5930" spans="1:26" customHeight="1" ht="36" hidden="true" outlineLevel="3">
      <c r="A5930" s="2" t="s">
        <v>11231</v>
      </c>
      <c r="B5930" s="3" t="s">
        <v>11232</v>
      </c>
      <c r="C5930" s="2"/>
      <c r="D5930" s="2" t="s">
        <v>16</v>
      </c>
      <c r="E5930" s="4">
        <f>225.71*(1-Z1%)</f>
        <v>225.71</v>
      </c>
      <c r="F5930" s="2">
        <v>4</v>
      </c>
      <c r="G5930" s="2"/>
    </row>
    <row r="5931" spans="1:26" customHeight="1" ht="36" hidden="true" outlineLevel="3">
      <c r="A5931" s="2" t="s">
        <v>11233</v>
      </c>
      <c r="B5931" s="3" t="s">
        <v>11234</v>
      </c>
      <c r="C5931" s="2"/>
      <c r="D5931" s="2" t="s">
        <v>16</v>
      </c>
      <c r="E5931" s="4">
        <f>225.71*(1-Z1%)</f>
        <v>225.71</v>
      </c>
      <c r="F5931" s="2">
        <v>3</v>
      </c>
      <c r="G5931" s="2"/>
    </row>
    <row r="5932" spans="1:26" customHeight="1" ht="36" hidden="true" outlineLevel="3">
      <c r="A5932" s="2" t="s">
        <v>11235</v>
      </c>
      <c r="B5932" s="3" t="s">
        <v>11236</v>
      </c>
      <c r="C5932" s="2"/>
      <c r="D5932" s="2" t="s">
        <v>16</v>
      </c>
      <c r="E5932" s="4">
        <f>325.02*(1-Z1%)</f>
        <v>325.02</v>
      </c>
      <c r="F5932" s="2">
        <v>4</v>
      </c>
      <c r="G5932" s="2"/>
    </row>
    <row r="5933" spans="1:26" customHeight="1" ht="36" hidden="true" outlineLevel="3">
      <c r="A5933" s="2" t="s">
        <v>11237</v>
      </c>
      <c r="B5933" s="3" t="s">
        <v>11238</v>
      </c>
      <c r="C5933" s="2"/>
      <c r="D5933" s="2" t="s">
        <v>16</v>
      </c>
      <c r="E5933" s="4">
        <f>325.02*(1-Z1%)</f>
        <v>325.02</v>
      </c>
      <c r="F5933" s="2">
        <v>5</v>
      </c>
      <c r="G5933" s="2"/>
    </row>
    <row r="5934" spans="1:26" customHeight="1" ht="36" hidden="true" outlineLevel="3">
      <c r="A5934" s="2" t="s">
        <v>11239</v>
      </c>
      <c r="B5934" s="3" t="s">
        <v>11240</v>
      </c>
      <c r="C5934" s="2"/>
      <c r="D5934" s="2" t="s">
        <v>16</v>
      </c>
      <c r="E5934" s="4">
        <f>963.00*(1-Z1%)</f>
        <v>963</v>
      </c>
      <c r="F5934" s="2">
        <v>1</v>
      </c>
      <c r="G5934" s="2"/>
    </row>
    <row r="5935" spans="1:26" customHeight="1" ht="36" hidden="true" outlineLevel="3">
      <c r="A5935" s="2" t="s">
        <v>11241</v>
      </c>
      <c r="B5935" s="3" t="s">
        <v>11242</v>
      </c>
      <c r="C5935" s="2"/>
      <c r="D5935" s="2" t="s">
        <v>16</v>
      </c>
      <c r="E5935" s="4">
        <f>601.88*(1-Z1%)</f>
        <v>601.88</v>
      </c>
      <c r="F5935" s="2">
        <v>1</v>
      </c>
      <c r="G5935" s="2"/>
    </row>
    <row r="5936" spans="1:26" customHeight="1" ht="36" hidden="true" outlineLevel="3">
      <c r="A5936" s="2" t="s">
        <v>11243</v>
      </c>
      <c r="B5936" s="3" t="s">
        <v>11244</v>
      </c>
      <c r="C5936" s="2"/>
      <c r="D5936" s="2" t="s">
        <v>16</v>
      </c>
      <c r="E5936" s="4">
        <f>662.07*(1-Z1%)</f>
        <v>662.07</v>
      </c>
      <c r="F5936" s="2">
        <v>1</v>
      </c>
      <c r="G5936" s="2"/>
    </row>
    <row r="5937" spans="1:26" customHeight="1" ht="36" hidden="true" outlineLevel="3">
      <c r="A5937" s="2" t="s">
        <v>11245</v>
      </c>
      <c r="B5937" s="3" t="s">
        <v>11246</v>
      </c>
      <c r="C5937" s="2"/>
      <c r="D5937" s="2" t="s">
        <v>16</v>
      </c>
      <c r="E5937" s="4">
        <f>722.25*(1-Z1%)</f>
        <v>722.25</v>
      </c>
      <c r="F5937" s="2">
        <v>1</v>
      </c>
      <c r="G5937" s="2"/>
    </row>
    <row r="5938" spans="1:26" customHeight="1" ht="36" hidden="true" outlineLevel="3">
      <c r="A5938" s="2" t="s">
        <v>11247</v>
      </c>
      <c r="B5938" s="3" t="s">
        <v>11248</v>
      </c>
      <c r="C5938" s="2"/>
      <c r="D5938" s="2" t="s">
        <v>16</v>
      </c>
      <c r="E5938" s="4">
        <f>842.63*(1-Z1%)</f>
        <v>842.63</v>
      </c>
      <c r="F5938" s="2">
        <v>1</v>
      </c>
      <c r="G5938" s="2"/>
    </row>
    <row r="5939" spans="1:26" customHeight="1" ht="35" hidden="true" outlineLevel="3">
      <c r="A5939" s="5" t="s">
        <v>11249</v>
      </c>
      <c r="B5939" s="5"/>
      <c r="C5939" s="5"/>
      <c r="D5939" s="5"/>
      <c r="E5939" s="5"/>
      <c r="F5939" s="5"/>
      <c r="G5939" s="5"/>
    </row>
    <row r="5940" spans="1:26" customHeight="1" ht="18" hidden="true" outlineLevel="3">
      <c r="A5940" s="2" t="s">
        <v>11250</v>
      </c>
      <c r="B5940" s="3" t="s">
        <v>11251</v>
      </c>
      <c r="C5940" s="2"/>
      <c r="D5940" s="2" t="s">
        <v>16</v>
      </c>
      <c r="E5940" s="4">
        <f>231.03*(1-Z1%)</f>
        <v>231.03</v>
      </c>
      <c r="F5940" s="2">
        <v>1</v>
      </c>
      <c r="G5940" s="2"/>
    </row>
    <row r="5941" spans="1:26" customHeight="1" ht="36" hidden="true" outlineLevel="3">
      <c r="A5941" s="2" t="s">
        <v>11252</v>
      </c>
      <c r="B5941" s="3" t="s">
        <v>11253</v>
      </c>
      <c r="C5941" s="2"/>
      <c r="D5941" s="2" t="s">
        <v>16</v>
      </c>
      <c r="E5941" s="4">
        <f>31.42*(1-Z1%)</f>
        <v>31.42</v>
      </c>
      <c r="F5941" s="2">
        <v>87</v>
      </c>
      <c r="G5941" s="2"/>
    </row>
    <row r="5942" spans="1:26" customHeight="1" ht="18" hidden="true" outlineLevel="3">
      <c r="A5942" s="2" t="s">
        <v>11254</v>
      </c>
      <c r="B5942" s="3" t="s">
        <v>11255</v>
      </c>
      <c r="C5942" s="2"/>
      <c r="D5942" s="2" t="s">
        <v>16</v>
      </c>
      <c r="E5942" s="4">
        <f>20.35*(1-Z1%)</f>
        <v>20.35</v>
      </c>
      <c r="F5942" s="2">
        <v>80</v>
      </c>
      <c r="G5942" s="2"/>
    </row>
    <row r="5943" spans="1:26" customHeight="1" ht="18" hidden="true" outlineLevel="3">
      <c r="A5943" s="2" t="s">
        <v>11256</v>
      </c>
      <c r="B5943" s="3" t="s">
        <v>11257</v>
      </c>
      <c r="C5943" s="2"/>
      <c r="D5943" s="2" t="s">
        <v>16</v>
      </c>
      <c r="E5943" s="4">
        <f>20.35*(1-Z1%)</f>
        <v>20.35</v>
      </c>
      <c r="F5943" s="2">
        <v>121</v>
      </c>
      <c r="G5943" s="2"/>
    </row>
    <row r="5944" spans="1:26" customHeight="1" ht="35" hidden="true" outlineLevel="2">
      <c r="A5944" s="5" t="s">
        <v>11258</v>
      </c>
      <c r="B5944" s="5"/>
      <c r="C5944" s="5"/>
      <c r="D5944" s="5"/>
      <c r="E5944" s="5"/>
      <c r="F5944" s="5"/>
      <c r="G5944" s="5"/>
    </row>
    <row r="5945" spans="1:26" customHeight="1" ht="35" hidden="true" outlineLevel="3">
      <c r="A5945" s="5" t="s">
        <v>11259</v>
      </c>
      <c r="B5945" s="5"/>
      <c r="C5945" s="5"/>
      <c r="D5945" s="5"/>
      <c r="E5945" s="5"/>
      <c r="F5945" s="5"/>
      <c r="G5945" s="5"/>
    </row>
    <row r="5946" spans="1:26" customHeight="1" ht="36" hidden="true" outlineLevel="3">
      <c r="A5946" s="2" t="s">
        <v>11260</v>
      </c>
      <c r="B5946" s="3" t="s">
        <v>11261</v>
      </c>
      <c r="C5946" s="2"/>
      <c r="D5946" s="2" t="s">
        <v>16</v>
      </c>
      <c r="E5946" s="4">
        <f>582.35*(1-Z1%)</f>
        <v>582.35</v>
      </c>
      <c r="F5946" s="2">
        <v>6</v>
      </c>
      <c r="G5946" s="2"/>
    </row>
    <row r="5947" spans="1:26" customHeight="1" ht="36" hidden="true" outlineLevel="3">
      <c r="A5947" s="2" t="s">
        <v>11262</v>
      </c>
      <c r="B5947" s="3" t="s">
        <v>11263</v>
      </c>
      <c r="C5947" s="2"/>
      <c r="D5947" s="2" t="s">
        <v>16</v>
      </c>
      <c r="E5947" s="4">
        <f>582.35*(1-Z1%)</f>
        <v>582.35</v>
      </c>
      <c r="F5947" s="2">
        <v>6</v>
      </c>
      <c r="G5947" s="2"/>
    </row>
    <row r="5948" spans="1:26" customHeight="1" ht="36" hidden="true" outlineLevel="3">
      <c r="A5948" s="2" t="s">
        <v>11264</v>
      </c>
      <c r="B5948" s="3" t="s">
        <v>11265</v>
      </c>
      <c r="C5948" s="2"/>
      <c r="D5948" s="2" t="s">
        <v>16</v>
      </c>
      <c r="E5948" s="4">
        <f>582.35*(1-Z1%)</f>
        <v>582.35</v>
      </c>
      <c r="F5948" s="2">
        <v>5</v>
      </c>
      <c r="G5948" s="2"/>
    </row>
    <row r="5949" spans="1:26" customHeight="1" ht="36" hidden="true" outlineLevel="3">
      <c r="A5949" s="2" t="s">
        <v>11266</v>
      </c>
      <c r="B5949" s="3" t="s">
        <v>11267</v>
      </c>
      <c r="C5949" s="2"/>
      <c r="D5949" s="2" t="s">
        <v>16</v>
      </c>
      <c r="E5949" s="4">
        <f>693.40*(1-Z1%)</f>
        <v>693.4</v>
      </c>
      <c r="F5949" s="2">
        <v>2</v>
      </c>
      <c r="G5949" s="2"/>
    </row>
    <row r="5950" spans="1:26" customHeight="1" ht="36" hidden="true" outlineLevel="3">
      <c r="A5950" s="2" t="s">
        <v>11268</v>
      </c>
      <c r="B5950" s="3" t="s">
        <v>11269</v>
      </c>
      <c r="C5950" s="2"/>
      <c r="D5950" s="2" t="s">
        <v>16</v>
      </c>
      <c r="E5950" s="4">
        <f>833.97*(1-Z1%)</f>
        <v>833.97</v>
      </c>
      <c r="F5950" s="2">
        <v>7</v>
      </c>
      <c r="G5950" s="2"/>
    </row>
    <row r="5951" spans="1:26" customHeight="1" ht="36" hidden="true" outlineLevel="3">
      <c r="A5951" s="2" t="s">
        <v>11270</v>
      </c>
      <c r="B5951" s="3" t="s">
        <v>11271</v>
      </c>
      <c r="C5951" s="2"/>
      <c r="D5951" s="2" t="s">
        <v>16</v>
      </c>
      <c r="E5951" s="4">
        <f>833.97*(1-Z1%)</f>
        <v>833.97</v>
      </c>
      <c r="F5951" s="2">
        <v>4</v>
      </c>
      <c r="G5951" s="2"/>
    </row>
    <row r="5952" spans="1:26" customHeight="1" ht="36" hidden="true" outlineLevel="3">
      <c r="A5952" s="2" t="s">
        <v>11272</v>
      </c>
      <c r="B5952" s="3" t="s">
        <v>11273</v>
      </c>
      <c r="C5952" s="2"/>
      <c r="D5952" s="2" t="s">
        <v>16</v>
      </c>
      <c r="E5952" s="4">
        <f>1356.08*(1-Z1%)</f>
        <v>1356.08</v>
      </c>
      <c r="F5952" s="2">
        <v>4</v>
      </c>
      <c r="G5952" s="2"/>
    </row>
    <row r="5953" spans="1:26" customHeight="1" ht="36" hidden="true" outlineLevel="3">
      <c r="A5953" s="2" t="s">
        <v>11274</v>
      </c>
      <c r="B5953" s="3" t="s">
        <v>11275</v>
      </c>
      <c r="C5953" s="2"/>
      <c r="D5953" s="2" t="s">
        <v>16</v>
      </c>
      <c r="E5953" s="4">
        <f>361.47*(1-Z1%)</f>
        <v>361.47</v>
      </c>
      <c r="F5953" s="2">
        <v>3</v>
      </c>
      <c r="G5953" s="2"/>
    </row>
    <row r="5954" spans="1:26" customHeight="1" ht="36" hidden="true" outlineLevel="3">
      <c r="A5954" s="2" t="s">
        <v>11276</v>
      </c>
      <c r="B5954" s="3" t="s">
        <v>11277</v>
      </c>
      <c r="C5954" s="2"/>
      <c r="D5954" s="2" t="s">
        <v>16</v>
      </c>
      <c r="E5954" s="4">
        <f>271.69*(1-Z1%)</f>
        <v>271.69</v>
      </c>
      <c r="F5954" s="2">
        <v>2</v>
      </c>
      <c r="G5954" s="2"/>
    </row>
    <row r="5955" spans="1:26" customHeight="1" ht="36" hidden="true" outlineLevel="3">
      <c r="A5955" s="2" t="s">
        <v>11278</v>
      </c>
      <c r="B5955" s="3" t="s">
        <v>11279</v>
      </c>
      <c r="C5955" s="2"/>
      <c r="D5955" s="2" t="s">
        <v>16</v>
      </c>
      <c r="E5955" s="4">
        <f>420.53*(1-Z1%)</f>
        <v>420.53</v>
      </c>
      <c r="F5955" s="2">
        <v>8</v>
      </c>
      <c r="G5955" s="2"/>
    </row>
    <row r="5956" spans="1:26" customHeight="1" ht="36" hidden="true" outlineLevel="3">
      <c r="A5956" s="2" t="s">
        <v>11280</v>
      </c>
      <c r="B5956" s="3" t="s">
        <v>11281</v>
      </c>
      <c r="C5956" s="2"/>
      <c r="D5956" s="2" t="s">
        <v>16</v>
      </c>
      <c r="E5956" s="4">
        <f>420.53*(1-Z1%)</f>
        <v>420.53</v>
      </c>
      <c r="F5956" s="2">
        <v>8</v>
      </c>
      <c r="G5956" s="2"/>
    </row>
    <row r="5957" spans="1:26" customHeight="1" ht="36" hidden="true" outlineLevel="3">
      <c r="A5957" s="2" t="s">
        <v>11282</v>
      </c>
      <c r="B5957" s="3" t="s">
        <v>11283</v>
      </c>
      <c r="C5957" s="2"/>
      <c r="D5957" s="2" t="s">
        <v>16</v>
      </c>
      <c r="E5957" s="4">
        <f>271.69*(1-Z1%)</f>
        <v>271.69</v>
      </c>
      <c r="F5957" s="2">
        <v>6</v>
      </c>
      <c r="G5957" s="2"/>
    </row>
    <row r="5958" spans="1:26" customHeight="1" ht="36" hidden="true" outlineLevel="3">
      <c r="A5958" s="2" t="s">
        <v>11284</v>
      </c>
      <c r="B5958" s="3" t="s">
        <v>11285</v>
      </c>
      <c r="C5958" s="2"/>
      <c r="D5958" s="2" t="s">
        <v>16</v>
      </c>
      <c r="E5958" s="4">
        <f>271.69*(1-Z1%)</f>
        <v>271.69</v>
      </c>
      <c r="F5958" s="2">
        <v>7</v>
      </c>
      <c r="G5958" s="2"/>
    </row>
    <row r="5959" spans="1:26" customHeight="1" ht="36" hidden="true" outlineLevel="3">
      <c r="A5959" s="2" t="s">
        <v>11286</v>
      </c>
      <c r="B5959" s="3" t="s">
        <v>11287</v>
      </c>
      <c r="C5959" s="2"/>
      <c r="D5959" s="2" t="s">
        <v>16</v>
      </c>
      <c r="E5959" s="4">
        <f>271.69*(1-Z1%)</f>
        <v>271.69</v>
      </c>
      <c r="F5959" s="2">
        <v>4</v>
      </c>
      <c r="G5959" s="2"/>
    </row>
    <row r="5960" spans="1:26" customHeight="1" ht="36" hidden="true" outlineLevel="3">
      <c r="A5960" s="2" t="s">
        <v>11288</v>
      </c>
      <c r="B5960" s="3" t="s">
        <v>11289</v>
      </c>
      <c r="C5960" s="2"/>
      <c r="D5960" s="2" t="s">
        <v>16</v>
      </c>
      <c r="E5960" s="4">
        <f>180.73*(1-Z1%)</f>
        <v>180.73</v>
      </c>
      <c r="F5960" s="2">
        <v>2</v>
      </c>
      <c r="G5960" s="2"/>
    </row>
    <row r="5961" spans="1:26" customHeight="1" ht="36" hidden="true" outlineLevel="3">
      <c r="A5961" s="2" t="s">
        <v>11290</v>
      </c>
      <c r="B5961" s="3" t="s">
        <v>11291</v>
      </c>
      <c r="C5961" s="2"/>
      <c r="D5961" s="2" t="s">
        <v>16</v>
      </c>
      <c r="E5961" s="4">
        <f>702.85*(1-Z1%)</f>
        <v>702.85</v>
      </c>
      <c r="F5961" s="2">
        <v>5</v>
      </c>
      <c r="G5961" s="2"/>
    </row>
    <row r="5962" spans="1:26" customHeight="1" ht="36" hidden="true" outlineLevel="3">
      <c r="A5962" s="2" t="s">
        <v>11292</v>
      </c>
      <c r="B5962" s="3" t="s">
        <v>11293</v>
      </c>
      <c r="C5962" s="2"/>
      <c r="D5962" s="2" t="s">
        <v>16</v>
      </c>
      <c r="E5962" s="4">
        <f>702.85*(1-Z1%)</f>
        <v>702.85</v>
      </c>
      <c r="F5962" s="2">
        <v>6</v>
      </c>
      <c r="G5962" s="2"/>
    </row>
    <row r="5963" spans="1:26" customHeight="1" ht="36" hidden="true" outlineLevel="3">
      <c r="A5963" s="2" t="s">
        <v>11294</v>
      </c>
      <c r="B5963" s="3" t="s">
        <v>11295</v>
      </c>
      <c r="C5963" s="2"/>
      <c r="D5963" s="2" t="s">
        <v>16</v>
      </c>
      <c r="E5963" s="4">
        <f>1104.47*(1-Z1%)</f>
        <v>1104.47</v>
      </c>
      <c r="F5963" s="2">
        <v>6</v>
      </c>
      <c r="G5963" s="2"/>
    </row>
    <row r="5964" spans="1:26" customHeight="1" ht="36" hidden="true" outlineLevel="3">
      <c r="A5964" s="2" t="s">
        <v>11296</v>
      </c>
      <c r="B5964" s="3" t="s">
        <v>11297</v>
      </c>
      <c r="C5964" s="2"/>
      <c r="D5964" s="2" t="s">
        <v>16</v>
      </c>
      <c r="E5964" s="4">
        <f>1104.47*(1-Z1%)</f>
        <v>1104.47</v>
      </c>
      <c r="F5964" s="2">
        <v>6</v>
      </c>
      <c r="G5964" s="2"/>
    </row>
    <row r="5965" spans="1:26" customHeight="1" ht="36" hidden="true" outlineLevel="3">
      <c r="A5965" s="2" t="s">
        <v>11298</v>
      </c>
      <c r="B5965" s="3" t="s">
        <v>11299</v>
      </c>
      <c r="C5965" s="2"/>
      <c r="D5965" s="2" t="s">
        <v>16</v>
      </c>
      <c r="E5965" s="4">
        <f>1104.47*(1-Z1%)</f>
        <v>1104.47</v>
      </c>
      <c r="F5965" s="2">
        <v>5</v>
      </c>
      <c r="G5965" s="2"/>
    </row>
    <row r="5966" spans="1:26" customHeight="1" ht="36" hidden="true" outlineLevel="3">
      <c r="A5966" s="2" t="s">
        <v>11300</v>
      </c>
      <c r="B5966" s="3" t="s">
        <v>11301</v>
      </c>
      <c r="C5966" s="2"/>
      <c r="D5966" s="2" t="s">
        <v>16</v>
      </c>
      <c r="E5966" s="4">
        <f>693.40*(1-Z1%)</f>
        <v>693.4</v>
      </c>
      <c r="F5966" s="2">
        <v>3</v>
      </c>
      <c r="G5966" s="2"/>
    </row>
    <row r="5967" spans="1:26" customHeight="1" ht="36" hidden="true" outlineLevel="3">
      <c r="A5967" s="2" t="s">
        <v>11302</v>
      </c>
      <c r="B5967" s="3" t="s">
        <v>11303</v>
      </c>
      <c r="C5967" s="2"/>
      <c r="D5967" s="2" t="s">
        <v>16</v>
      </c>
      <c r="E5967" s="4">
        <f>372.10*(1-Z1%)</f>
        <v>372.1</v>
      </c>
      <c r="F5967" s="2">
        <v>3</v>
      </c>
      <c r="G5967" s="2"/>
    </row>
    <row r="5968" spans="1:26" customHeight="1" ht="36" hidden="true" outlineLevel="3">
      <c r="A5968" s="2" t="s">
        <v>11304</v>
      </c>
      <c r="B5968" s="3" t="s">
        <v>11305</v>
      </c>
      <c r="C5968" s="2"/>
      <c r="D5968" s="2" t="s">
        <v>16</v>
      </c>
      <c r="E5968" s="4">
        <f>281.33*(1-Z1%)</f>
        <v>281.33</v>
      </c>
      <c r="F5968" s="2">
        <v>15</v>
      </c>
      <c r="G5968" s="2"/>
    </row>
    <row r="5969" spans="1:26" customHeight="1" ht="36" hidden="true" outlineLevel="3">
      <c r="A5969" s="2" t="s">
        <v>11306</v>
      </c>
      <c r="B5969" s="3" t="s">
        <v>11307</v>
      </c>
      <c r="C5969" s="2"/>
      <c r="D5969" s="2" t="s">
        <v>16</v>
      </c>
      <c r="E5969" s="4">
        <f>383.97*(1-Z1%)</f>
        <v>383.97</v>
      </c>
      <c r="F5969" s="2">
        <v>1</v>
      </c>
      <c r="G5969" s="2"/>
    </row>
    <row r="5970" spans="1:26" customHeight="1" ht="18" hidden="true" outlineLevel="3">
      <c r="A5970" s="2" t="s">
        <v>11308</v>
      </c>
      <c r="B5970" s="3" t="s">
        <v>11309</v>
      </c>
      <c r="C5970" s="2"/>
      <c r="D5970" s="2" t="s">
        <v>16</v>
      </c>
      <c r="E5970" s="4">
        <f>115.29*(1-Z1%)</f>
        <v>115.29</v>
      </c>
      <c r="F5970" s="2">
        <v>40</v>
      </c>
      <c r="G5970" s="2"/>
    </row>
    <row r="5971" spans="1:26" customHeight="1" ht="18" hidden="true" outlineLevel="3">
      <c r="A5971" s="2" t="s">
        <v>11310</v>
      </c>
      <c r="B5971" s="3" t="s">
        <v>11311</v>
      </c>
      <c r="C5971" s="2"/>
      <c r="D5971" s="2" t="s">
        <v>16</v>
      </c>
      <c r="E5971" s="4">
        <f>86.94*(1-Z1%)</f>
        <v>86.94</v>
      </c>
      <c r="F5971" s="2">
        <v>1</v>
      </c>
      <c r="G5971" s="2"/>
    </row>
    <row r="5972" spans="1:26" customHeight="1" ht="18" hidden="true" outlineLevel="3">
      <c r="A5972" s="2" t="s">
        <v>11312</v>
      </c>
      <c r="B5972" s="3" t="s">
        <v>11313</v>
      </c>
      <c r="C5972" s="2"/>
      <c r="D5972" s="2" t="s">
        <v>16</v>
      </c>
      <c r="E5972" s="4">
        <f>62.43*(1-Z1%)</f>
        <v>62.43</v>
      </c>
      <c r="F5972" s="2">
        <v>29</v>
      </c>
      <c r="G5972" s="2"/>
    </row>
    <row r="5973" spans="1:26" customHeight="1" ht="35" hidden="true" outlineLevel="3">
      <c r="A5973" s="5" t="s">
        <v>11314</v>
      </c>
      <c r="B5973" s="5"/>
      <c r="C5973" s="5"/>
      <c r="D5973" s="5"/>
      <c r="E5973" s="5"/>
      <c r="F5973" s="5"/>
      <c r="G5973" s="5"/>
    </row>
    <row r="5974" spans="1:26" customHeight="1" ht="18" hidden="true" outlineLevel="3">
      <c r="A5974" s="2" t="s">
        <v>11315</v>
      </c>
      <c r="B5974" s="3" t="s">
        <v>11316</v>
      </c>
      <c r="C5974" s="2"/>
      <c r="D5974" s="2" t="s">
        <v>16</v>
      </c>
      <c r="E5974" s="4">
        <f>421.88*(1-Z1%)</f>
        <v>421.88</v>
      </c>
      <c r="F5974" s="2">
        <v>2</v>
      </c>
      <c r="G5974" s="2"/>
    </row>
    <row r="5975" spans="1:26" customHeight="1" ht="36" hidden="true" outlineLevel="3">
      <c r="A5975" s="2" t="s">
        <v>11317</v>
      </c>
      <c r="B5975" s="3" t="s">
        <v>11318</v>
      </c>
      <c r="C5975" s="2"/>
      <c r="D5975" s="2" t="s">
        <v>16</v>
      </c>
      <c r="E5975" s="4">
        <f>1476.56*(1-Z1%)</f>
        <v>1476.56</v>
      </c>
      <c r="F5975" s="2">
        <v>1</v>
      </c>
      <c r="G5975" s="2"/>
    </row>
    <row r="5976" spans="1:26" customHeight="1" ht="18" hidden="true" outlineLevel="3">
      <c r="A5976" s="2" t="s">
        <v>11319</v>
      </c>
      <c r="B5976" s="3" t="s">
        <v>11320</v>
      </c>
      <c r="C5976" s="2"/>
      <c r="D5976" s="2" t="s">
        <v>16</v>
      </c>
      <c r="E5976" s="4">
        <f>760.34*(1-Z1%)</f>
        <v>760.34</v>
      </c>
      <c r="F5976" s="2">
        <v>3</v>
      </c>
      <c r="G5976" s="2"/>
    </row>
    <row r="5977" spans="1:26" customHeight="1" ht="18" hidden="true" outlineLevel="3">
      <c r="A5977" s="2" t="s">
        <v>11321</v>
      </c>
      <c r="B5977" s="3" t="s">
        <v>11322</v>
      </c>
      <c r="C5977" s="2"/>
      <c r="D5977" s="2" t="s">
        <v>16</v>
      </c>
      <c r="E5977" s="4">
        <f>636.86*(1-Z1%)</f>
        <v>636.86</v>
      </c>
      <c r="F5977" s="2">
        <v>2</v>
      </c>
      <c r="G5977" s="2"/>
    </row>
    <row r="5978" spans="1:26" customHeight="1" ht="18" hidden="true" outlineLevel="3">
      <c r="A5978" s="2" t="s">
        <v>11323</v>
      </c>
      <c r="B5978" s="3" t="s">
        <v>11322</v>
      </c>
      <c r="C5978" s="2"/>
      <c r="D5978" s="2" t="s">
        <v>16</v>
      </c>
      <c r="E5978" s="4">
        <f>592.99*(1-Z1%)</f>
        <v>592.99</v>
      </c>
      <c r="F5978" s="2">
        <v>2</v>
      </c>
      <c r="G5978" s="2"/>
    </row>
    <row r="5979" spans="1:26" customHeight="1" ht="18" hidden="true" outlineLevel="3">
      <c r="A5979" s="2" t="s">
        <v>11324</v>
      </c>
      <c r="B5979" s="3" t="s">
        <v>11325</v>
      </c>
      <c r="C5979" s="2"/>
      <c r="D5979" s="2" t="s">
        <v>16</v>
      </c>
      <c r="E5979" s="4">
        <f>1075.50*(1-Z1%)</f>
        <v>1075.5</v>
      </c>
      <c r="F5979" s="2">
        <v>1</v>
      </c>
      <c r="G5979" s="2"/>
    </row>
    <row r="5980" spans="1:26" customHeight="1" ht="18" hidden="true" outlineLevel="3">
      <c r="A5980" s="2" t="s">
        <v>11326</v>
      </c>
      <c r="B5980" s="3" t="s">
        <v>11327</v>
      </c>
      <c r="C5980" s="2"/>
      <c r="D5980" s="2" t="s">
        <v>16</v>
      </c>
      <c r="E5980" s="4">
        <f>672.19*(1-Z1%)</f>
        <v>672.19</v>
      </c>
      <c r="F5980" s="2">
        <v>1</v>
      </c>
      <c r="G5980" s="2"/>
    </row>
    <row r="5981" spans="1:26" customHeight="1" ht="18" hidden="true" outlineLevel="3">
      <c r="A5981" s="2" t="s">
        <v>11328</v>
      </c>
      <c r="B5981" s="3" t="s">
        <v>11329</v>
      </c>
      <c r="C5981" s="2"/>
      <c r="D5981" s="2" t="s">
        <v>16</v>
      </c>
      <c r="E5981" s="4">
        <f>719.44*(1-Z1%)</f>
        <v>719.44</v>
      </c>
      <c r="F5981" s="2">
        <v>3</v>
      </c>
      <c r="G5981" s="2"/>
    </row>
    <row r="5982" spans="1:26" customHeight="1" ht="18" hidden="true" outlineLevel="3">
      <c r="A5982" s="2" t="s">
        <v>11330</v>
      </c>
      <c r="B5982" s="3" t="s">
        <v>11331</v>
      </c>
      <c r="C5982" s="2"/>
      <c r="D5982" s="2" t="s">
        <v>16</v>
      </c>
      <c r="E5982" s="4">
        <f>719.44*(1-Z1%)</f>
        <v>719.44</v>
      </c>
      <c r="F5982" s="2">
        <v>1</v>
      </c>
      <c r="G5982" s="2"/>
    </row>
    <row r="5983" spans="1:26" customHeight="1" ht="35" hidden="true" outlineLevel="3">
      <c r="A5983" s="5" t="s">
        <v>11332</v>
      </c>
      <c r="B5983" s="5"/>
      <c r="C5983" s="5"/>
      <c r="D5983" s="5"/>
      <c r="E5983" s="5"/>
      <c r="F5983" s="5"/>
      <c r="G5983" s="5"/>
    </row>
    <row r="5984" spans="1:26" customHeight="1" ht="18" hidden="true" outlineLevel="3">
      <c r="A5984" s="2" t="s">
        <v>11333</v>
      </c>
      <c r="B5984" s="3" t="s">
        <v>11322</v>
      </c>
      <c r="C5984" s="2"/>
      <c r="D5984" s="2" t="s">
        <v>16</v>
      </c>
      <c r="E5984" s="4">
        <f>513.90*(1-Z1%)</f>
        <v>513.9</v>
      </c>
      <c r="F5984" s="2">
        <v>1</v>
      </c>
      <c r="G5984" s="2"/>
    </row>
    <row r="5985" spans="1:26" customHeight="1" ht="18" hidden="true" outlineLevel="3">
      <c r="A5985" s="2" t="s">
        <v>11334</v>
      </c>
      <c r="B5985" s="3" t="s">
        <v>11325</v>
      </c>
      <c r="C5985" s="2"/>
      <c r="D5985" s="2" t="s">
        <v>16</v>
      </c>
      <c r="E5985" s="4">
        <f>863.55*(1-Z1%)</f>
        <v>863.55</v>
      </c>
      <c r="F5985" s="2">
        <v>1</v>
      </c>
      <c r="G5985" s="2"/>
    </row>
    <row r="5986" spans="1:26" customHeight="1" ht="18" hidden="true" outlineLevel="3">
      <c r="A5986" s="2" t="s">
        <v>11335</v>
      </c>
      <c r="B5986" s="3" t="s">
        <v>11325</v>
      </c>
      <c r="C5986" s="2"/>
      <c r="D5986" s="2" t="s">
        <v>16</v>
      </c>
      <c r="E5986" s="4">
        <f>396.90*(1-Z1%)</f>
        <v>396.9</v>
      </c>
      <c r="F5986" s="2">
        <v>1</v>
      </c>
      <c r="G5986" s="2"/>
    </row>
    <row r="5987" spans="1:26" customHeight="1" ht="18" hidden="true" outlineLevel="3">
      <c r="A5987" s="2" t="s">
        <v>11336</v>
      </c>
      <c r="B5987" s="3" t="s">
        <v>11325</v>
      </c>
      <c r="C5987" s="2"/>
      <c r="D5987" s="2" t="s">
        <v>16</v>
      </c>
      <c r="E5987" s="4">
        <f>396.90*(1-Z1%)</f>
        <v>396.9</v>
      </c>
      <c r="F5987" s="2">
        <v>1</v>
      </c>
      <c r="G5987" s="2"/>
    </row>
    <row r="5988" spans="1:26" customHeight="1" ht="36" hidden="true" outlineLevel="3">
      <c r="A5988" s="2" t="s">
        <v>11337</v>
      </c>
      <c r="B5988" s="3" t="s">
        <v>11338</v>
      </c>
      <c r="C5988" s="2"/>
      <c r="D5988" s="2" t="s">
        <v>16</v>
      </c>
      <c r="E5988" s="4">
        <f>240.98*(1-Z1%)</f>
        <v>240.98</v>
      </c>
      <c r="F5988" s="2">
        <v>1</v>
      </c>
      <c r="G5988" s="2"/>
    </row>
    <row r="5989" spans="1:26" customHeight="1" ht="35" hidden="true" outlineLevel="3">
      <c r="A5989" s="5" t="s">
        <v>11339</v>
      </c>
      <c r="B5989" s="5"/>
      <c r="C5989" s="5"/>
      <c r="D5989" s="5"/>
      <c r="E5989" s="5"/>
      <c r="F5989" s="5"/>
      <c r="G5989" s="5"/>
    </row>
    <row r="5990" spans="1:26" customHeight="1" ht="18" hidden="true" outlineLevel="3">
      <c r="A5990" s="2" t="s">
        <v>11340</v>
      </c>
      <c r="B5990" s="3" t="s">
        <v>11341</v>
      </c>
      <c r="C5990" s="2"/>
      <c r="D5990" s="2" t="s">
        <v>16</v>
      </c>
      <c r="E5990" s="4">
        <f>222.75*(1-Z1%)</f>
        <v>222.75</v>
      </c>
      <c r="F5990" s="2">
        <v>1</v>
      </c>
      <c r="G5990" s="2"/>
    </row>
    <row r="5991" spans="1:26" customHeight="1" ht="35" hidden="true" outlineLevel="2">
      <c r="A5991" s="5" t="s">
        <v>11342</v>
      </c>
      <c r="B5991" s="5"/>
      <c r="C5991" s="5"/>
      <c r="D5991" s="5"/>
      <c r="E5991" s="5"/>
      <c r="F5991" s="5"/>
      <c r="G5991" s="5"/>
    </row>
    <row r="5992" spans="1:26" customHeight="1" ht="35" hidden="true" outlineLevel="3">
      <c r="A5992" s="5" t="s">
        <v>11343</v>
      </c>
      <c r="B5992" s="5"/>
      <c r="C5992" s="5"/>
      <c r="D5992" s="5"/>
      <c r="E5992" s="5"/>
      <c r="F5992" s="5"/>
      <c r="G5992" s="5"/>
    </row>
    <row r="5993" spans="1:26" customHeight="1" ht="36" hidden="true" outlineLevel="3">
      <c r="A5993" s="2" t="s">
        <v>11344</v>
      </c>
      <c r="B5993" s="3" t="s">
        <v>11345</v>
      </c>
      <c r="C5993" s="2"/>
      <c r="D5993" s="2" t="s">
        <v>16</v>
      </c>
      <c r="E5993" s="4">
        <f>565.34*(1-Z1%)</f>
        <v>565.34</v>
      </c>
      <c r="F5993" s="2">
        <v>1</v>
      </c>
      <c r="G5993" s="2"/>
    </row>
    <row r="5994" spans="1:26" customHeight="1" ht="36" hidden="true" outlineLevel="3">
      <c r="A5994" s="2" t="s">
        <v>11346</v>
      </c>
      <c r="B5994" s="3" t="s">
        <v>11347</v>
      </c>
      <c r="C5994" s="2"/>
      <c r="D5994" s="2" t="s">
        <v>16</v>
      </c>
      <c r="E5994" s="4">
        <f>471.53*(1-Z1%)</f>
        <v>471.53</v>
      </c>
      <c r="F5994" s="2">
        <v>2</v>
      </c>
      <c r="G5994" s="2"/>
    </row>
    <row r="5995" spans="1:26" customHeight="1" ht="36" hidden="true" outlineLevel="3">
      <c r="A5995" s="2" t="s">
        <v>11348</v>
      </c>
      <c r="B5995" s="3" t="s">
        <v>11349</v>
      </c>
      <c r="C5995" s="2"/>
      <c r="D5995" s="2" t="s">
        <v>16</v>
      </c>
      <c r="E5995" s="4">
        <f>523.19*(1-Z1%)</f>
        <v>523.19</v>
      </c>
      <c r="F5995" s="2">
        <v>7</v>
      </c>
      <c r="G5995" s="2"/>
    </row>
    <row r="5996" spans="1:26" customHeight="1" ht="36" hidden="true" outlineLevel="3">
      <c r="A5996" s="2" t="s">
        <v>11350</v>
      </c>
      <c r="B5996" s="3" t="s">
        <v>11351</v>
      </c>
      <c r="C5996" s="2"/>
      <c r="D5996" s="2" t="s">
        <v>16</v>
      </c>
      <c r="E5996" s="4">
        <f>500.26*(1-Z1%)</f>
        <v>500.26</v>
      </c>
      <c r="F5996" s="2">
        <v>2</v>
      </c>
      <c r="G5996" s="2"/>
    </row>
    <row r="5997" spans="1:26" customHeight="1" ht="36" hidden="true" outlineLevel="3">
      <c r="A5997" s="2" t="s">
        <v>11352</v>
      </c>
      <c r="B5997" s="3" t="s">
        <v>11353</v>
      </c>
      <c r="C5997" s="2"/>
      <c r="D5997" s="2" t="s">
        <v>16</v>
      </c>
      <c r="E5997" s="4">
        <f>589.36*(1-Z1%)</f>
        <v>589.36</v>
      </c>
      <c r="F5997" s="2">
        <v>3</v>
      </c>
      <c r="G5997" s="2"/>
    </row>
    <row r="5998" spans="1:26" customHeight="1" ht="36" hidden="true" outlineLevel="3">
      <c r="A5998" s="2" t="s">
        <v>11354</v>
      </c>
      <c r="B5998" s="3" t="s">
        <v>11355</v>
      </c>
      <c r="C5998" s="2"/>
      <c r="D5998" s="2" t="s">
        <v>16</v>
      </c>
      <c r="E5998" s="4">
        <f>463.50*(1-Z1%)</f>
        <v>463.5</v>
      </c>
      <c r="F5998" s="2">
        <v>1</v>
      </c>
      <c r="G5998" s="2"/>
    </row>
    <row r="5999" spans="1:26" customHeight="1" ht="36" hidden="true" outlineLevel="3">
      <c r="A5999" s="2" t="s">
        <v>11356</v>
      </c>
      <c r="B5999" s="3" t="s">
        <v>11357</v>
      </c>
      <c r="C5999" s="2"/>
      <c r="D5999" s="2" t="s">
        <v>16</v>
      </c>
      <c r="E5999" s="4">
        <f>455.92*(1-Z1%)</f>
        <v>455.92</v>
      </c>
      <c r="F5999" s="2">
        <v>1</v>
      </c>
      <c r="G5999" s="2"/>
    </row>
    <row r="6000" spans="1:26" customHeight="1" ht="36" hidden="true" outlineLevel="3">
      <c r="A6000" s="2" t="s">
        <v>11358</v>
      </c>
      <c r="B6000" s="3" t="s">
        <v>11359</v>
      </c>
      <c r="C6000" s="2"/>
      <c r="D6000" s="2" t="s">
        <v>16</v>
      </c>
      <c r="E6000" s="4">
        <f>505.58*(1-Z1%)</f>
        <v>505.58</v>
      </c>
      <c r="F6000" s="2">
        <v>3</v>
      </c>
      <c r="G6000" s="2"/>
    </row>
    <row r="6001" spans="1:26" customHeight="1" ht="36" hidden="true" outlineLevel="3">
      <c r="A6001" s="2" t="s">
        <v>11360</v>
      </c>
      <c r="B6001" s="3" t="s">
        <v>11361</v>
      </c>
      <c r="C6001" s="2"/>
      <c r="D6001" s="2" t="s">
        <v>16</v>
      </c>
      <c r="E6001" s="4">
        <f>475.97*(1-Z1%)</f>
        <v>475.97</v>
      </c>
      <c r="F6001" s="2">
        <v>1</v>
      </c>
      <c r="G6001" s="2"/>
    </row>
    <row r="6002" spans="1:26" customHeight="1" ht="36" hidden="true" outlineLevel="3">
      <c r="A6002" s="2" t="s">
        <v>11362</v>
      </c>
      <c r="B6002" s="3" t="s">
        <v>11363</v>
      </c>
      <c r="C6002" s="2"/>
      <c r="D6002" s="2" t="s">
        <v>16</v>
      </c>
      <c r="E6002" s="4">
        <f>463.50*(1-Z1%)</f>
        <v>463.5</v>
      </c>
      <c r="F6002" s="2">
        <v>5</v>
      </c>
      <c r="G6002" s="2"/>
    </row>
    <row r="6003" spans="1:26" customHeight="1" ht="36" hidden="true" outlineLevel="3">
      <c r="A6003" s="2" t="s">
        <v>11364</v>
      </c>
      <c r="B6003" s="3" t="s">
        <v>11365</v>
      </c>
      <c r="C6003" s="2"/>
      <c r="D6003" s="2" t="s">
        <v>16</v>
      </c>
      <c r="E6003" s="4">
        <f>478.16*(1-Z1%)</f>
        <v>478.16</v>
      </c>
      <c r="F6003" s="2">
        <v>2</v>
      </c>
      <c r="G6003" s="2"/>
    </row>
    <row r="6004" spans="1:26" customHeight="1" ht="35" hidden="true" outlineLevel="3">
      <c r="A6004" s="5" t="s">
        <v>11366</v>
      </c>
      <c r="B6004" s="5"/>
      <c r="C6004" s="5"/>
      <c r="D6004" s="5"/>
      <c r="E6004" s="5"/>
      <c r="F6004" s="5"/>
      <c r="G6004" s="5"/>
    </row>
    <row r="6005" spans="1:26" customHeight="1" ht="36" hidden="true" outlineLevel="3">
      <c r="A6005" s="2" t="s">
        <v>11367</v>
      </c>
      <c r="B6005" s="3" t="s">
        <v>11368</v>
      </c>
      <c r="C6005" s="2"/>
      <c r="D6005" s="2" t="s">
        <v>16</v>
      </c>
      <c r="E6005" s="4">
        <f>180.84*(1-Z1%)</f>
        <v>180.84</v>
      </c>
      <c r="F6005" s="2">
        <v>4</v>
      </c>
      <c r="G6005" s="2"/>
    </row>
    <row r="6006" spans="1:26" customHeight="1" ht="36" hidden="true" outlineLevel="3">
      <c r="A6006" s="2" t="s">
        <v>11369</v>
      </c>
      <c r="B6006" s="3" t="s">
        <v>11370</v>
      </c>
      <c r="C6006" s="2"/>
      <c r="D6006" s="2" t="s">
        <v>16</v>
      </c>
      <c r="E6006" s="4">
        <f>291.99*(1-Z1%)</f>
        <v>291.99</v>
      </c>
      <c r="F6006" s="2">
        <v>2</v>
      </c>
      <c r="G6006" s="2"/>
    </row>
    <row r="6007" spans="1:26" customHeight="1" ht="35" hidden="true" outlineLevel="3">
      <c r="A6007" s="5" t="s">
        <v>11371</v>
      </c>
      <c r="B6007" s="5"/>
      <c r="C6007" s="5"/>
      <c r="D6007" s="5"/>
      <c r="E6007" s="5"/>
      <c r="F6007" s="5"/>
      <c r="G6007" s="5"/>
    </row>
    <row r="6008" spans="1:26" customHeight="1" ht="18" hidden="true" outlineLevel="3">
      <c r="A6008" s="2" t="s">
        <v>11372</v>
      </c>
      <c r="B6008" s="3" t="s">
        <v>11373</v>
      </c>
      <c r="C6008" s="2"/>
      <c r="D6008" s="2" t="s">
        <v>16</v>
      </c>
      <c r="E6008" s="4">
        <f>173.34*(1-Z1%)</f>
        <v>173.34</v>
      </c>
      <c r="F6008" s="2">
        <v>1</v>
      </c>
      <c r="G6008" s="2"/>
    </row>
    <row r="6009" spans="1:26" customHeight="1" ht="18" hidden="true" outlineLevel="3">
      <c r="A6009" s="2" t="s">
        <v>11374</v>
      </c>
      <c r="B6009" s="3" t="s">
        <v>11375</v>
      </c>
      <c r="C6009" s="2"/>
      <c r="D6009" s="2" t="s">
        <v>16</v>
      </c>
      <c r="E6009" s="4">
        <f>241.05*(1-Z1%)</f>
        <v>241.05</v>
      </c>
      <c r="F6009" s="2">
        <v>6</v>
      </c>
      <c r="G6009" s="2"/>
    </row>
    <row r="6010" spans="1:26" customHeight="1" ht="18" hidden="true" outlineLevel="3">
      <c r="A6010" s="2" t="s">
        <v>11376</v>
      </c>
      <c r="B6010" s="3" t="s">
        <v>11377</v>
      </c>
      <c r="C6010" s="2"/>
      <c r="D6010" s="2" t="s">
        <v>16</v>
      </c>
      <c r="E6010" s="4">
        <f>325.02*(1-Z1%)</f>
        <v>325.02</v>
      </c>
      <c r="F6010" s="2">
        <v>4</v>
      </c>
      <c r="G6010" s="2"/>
    </row>
    <row r="6011" spans="1:26" customHeight="1" ht="35" hidden="true" outlineLevel="2">
      <c r="A6011" s="5" t="s">
        <v>11378</v>
      </c>
      <c r="B6011" s="5"/>
      <c r="C6011" s="5"/>
      <c r="D6011" s="5"/>
      <c r="E6011" s="5"/>
      <c r="F6011" s="5"/>
      <c r="G6011" s="5"/>
    </row>
    <row r="6012" spans="1:26" customHeight="1" ht="35" hidden="true" outlineLevel="3">
      <c r="A6012" s="5" t="s">
        <v>11379</v>
      </c>
      <c r="B6012" s="5"/>
      <c r="C6012" s="5"/>
      <c r="D6012" s="5"/>
      <c r="E6012" s="5"/>
      <c r="F6012" s="5"/>
      <c r="G6012" s="5"/>
    </row>
    <row r="6013" spans="1:26" customHeight="1" ht="36" hidden="true" outlineLevel="3">
      <c r="A6013" s="2" t="s">
        <v>11380</v>
      </c>
      <c r="B6013" s="3" t="s">
        <v>11381</v>
      </c>
      <c r="C6013" s="2"/>
      <c r="D6013" s="2" t="s">
        <v>16</v>
      </c>
      <c r="E6013" s="4">
        <f>266.08*(1-Z1%)</f>
        <v>266.08</v>
      </c>
      <c r="F6013" s="2">
        <v>1</v>
      </c>
      <c r="G6013" s="2"/>
    </row>
    <row r="6014" spans="1:26" customHeight="1" ht="36" hidden="true" outlineLevel="3">
      <c r="A6014" s="2" t="s">
        <v>11382</v>
      </c>
      <c r="B6014" s="3" t="s">
        <v>11383</v>
      </c>
      <c r="C6014" s="2"/>
      <c r="D6014" s="2" t="s">
        <v>16</v>
      </c>
      <c r="E6014" s="4">
        <f>438.15*(1-Z1%)</f>
        <v>438.15</v>
      </c>
      <c r="F6014" s="2">
        <v>1</v>
      </c>
      <c r="G6014" s="2"/>
    </row>
    <row r="6015" spans="1:26" customHeight="1" ht="35" hidden="true" outlineLevel="3">
      <c r="A6015" s="5" t="s">
        <v>11384</v>
      </c>
      <c r="B6015" s="5"/>
      <c r="C6015" s="5"/>
      <c r="D6015" s="5"/>
      <c r="E6015" s="5"/>
      <c r="F6015" s="5"/>
      <c r="G6015" s="5"/>
    </row>
    <row r="6016" spans="1:26" customHeight="1" ht="36" hidden="true" outlineLevel="3">
      <c r="A6016" s="2" t="s">
        <v>11385</v>
      </c>
      <c r="B6016" s="3" t="s">
        <v>11386</v>
      </c>
      <c r="C6016" s="2"/>
      <c r="D6016" s="2" t="s">
        <v>16</v>
      </c>
      <c r="E6016" s="4">
        <f>539.28*(1-Z1%)</f>
        <v>539.28</v>
      </c>
      <c r="F6016" s="2">
        <v>3</v>
      </c>
      <c r="G6016" s="2"/>
    </row>
    <row r="6017" spans="1:26" customHeight="1" ht="36" hidden="true" outlineLevel="3">
      <c r="A6017" s="2" t="s">
        <v>11387</v>
      </c>
      <c r="B6017" s="3" t="s">
        <v>11388</v>
      </c>
      <c r="C6017" s="2"/>
      <c r="D6017" s="2" t="s">
        <v>16</v>
      </c>
      <c r="E6017" s="4">
        <f>848.62*(1-Z1%)</f>
        <v>848.62</v>
      </c>
      <c r="F6017" s="2">
        <v>1</v>
      </c>
      <c r="G6017" s="2"/>
    </row>
    <row r="6018" spans="1:26" customHeight="1" ht="35" hidden="true" outlineLevel="3">
      <c r="A6018" s="5" t="s">
        <v>11389</v>
      </c>
      <c r="B6018" s="5"/>
      <c r="C6018" s="5"/>
      <c r="D6018" s="5"/>
      <c r="E6018" s="5"/>
      <c r="F6018" s="5"/>
      <c r="G6018" s="5"/>
    </row>
    <row r="6019" spans="1:26" customHeight="1" ht="36" hidden="true" outlineLevel="3">
      <c r="A6019" s="2" t="s">
        <v>11390</v>
      </c>
      <c r="B6019" s="3" t="s">
        <v>11391</v>
      </c>
      <c r="C6019" s="2"/>
      <c r="D6019" s="2" t="s">
        <v>16</v>
      </c>
      <c r="E6019" s="4">
        <f>500.98*(1-Z1%)</f>
        <v>500.98</v>
      </c>
      <c r="F6019" s="2">
        <v>1</v>
      </c>
      <c r="G6019" s="2"/>
    </row>
    <row r="6020" spans="1:26" customHeight="1" ht="36" hidden="true" outlineLevel="3">
      <c r="A6020" s="2" t="s">
        <v>11392</v>
      </c>
      <c r="B6020" s="3" t="s">
        <v>11393</v>
      </c>
      <c r="C6020" s="2"/>
      <c r="D6020" s="2" t="s">
        <v>16</v>
      </c>
      <c r="E6020" s="4">
        <f>500.98*(1-Z1%)</f>
        <v>500.98</v>
      </c>
      <c r="F6020" s="2">
        <v>1</v>
      </c>
      <c r="G6020" s="2"/>
    </row>
    <row r="6021" spans="1:26" customHeight="1" ht="35">
      <c r="A6021" s="1" t="s">
        <v>11394</v>
      </c>
      <c r="B6021" s="1"/>
      <c r="C6021" s="1"/>
      <c r="D6021" s="1"/>
      <c r="E6021" s="1"/>
      <c r="F6021" s="1"/>
      <c r="G6021" s="1"/>
    </row>
    <row r="6022" spans="1:26" customHeight="1" ht="35" hidden="true" outlineLevel="2">
      <c r="A6022" s="5" t="s">
        <v>11395</v>
      </c>
      <c r="B6022" s="5"/>
      <c r="C6022" s="5"/>
      <c r="D6022" s="5"/>
      <c r="E6022" s="5"/>
      <c r="F6022" s="5"/>
      <c r="G6022" s="5"/>
    </row>
    <row r="6023" spans="1:26" customHeight="1" ht="35" hidden="true" outlineLevel="3">
      <c r="A6023" s="5" t="s">
        <v>11396</v>
      </c>
      <c r="B6023" s="5"/>
      <c r="C6023" s="5"/>
      <c r="D6023" s="5"/>
      <c r="E6023" s="5"/>
      <c r="F6023" s="5"/>
      <c r="G6023" s="5"/>
    </row>
    <row r="6024" spans="1:26" customHeight="1" ht="36" hidden="true" outlineLevel="3">
      <c r="A6024" s="2" t="s">
        <v>11397</v>
      </c>
      <c r="B6024" s="3" t="s">
        <v>11398</v>
      </c>
      <c r="C6024" s="2"/>
      <c r="D6024" s="2" t="s">
        <v>16</v>
      </c>
      <c r="E6024" s="4">
        <f>101.92*(1-Z1%)</f>
        <v>101.92</v>
      </c>
      <c r="F6024" s="2">
        <v>3</v>
      </c>
      <c r="G6024" s="2"/>
    </row>
    <row r="6025" spans="1:26" customHeight="1" ht="36" hidden="true" outlineLevel="3">
      <c r="A6025" s="2" t="s">
        <v>11399</v>
      </c>
      <c r="B6025" s="3" t="s">
        <v>11398</v>
      </c>
      <c r="C6025" s="2"/>
      <c r="D6025" s="2" t="s">
        <v>16</v>
      </c>
      <c r="E6025" s="4">
        <f>147.38*(1-Z1%)</f>
        <v>147.38</v>
      </c>
      <c r="F6025" s="2">
        <v>1</v>
      </c>
      <c r="G6025" s="2"/>
    </row>
    <row r="6026" spans="1:26" customHeight="1" ht="35" hidden="true" outlineLevel="3">
      <c r="A6026" s="5" t="s">
        <v>11400</v>
      </c>
      <c r="B6026" s="5"/>
      <c r="C6026" s="5"/>
      <c r="D6026" s="5"/>
      <c r="E6026" s="5"/>
      <c r="F6026" s="5"/>
      <c r="G6026" s="5"/>
    </row>
    <row r="6027" spans="1:26" customHeight="1" ht="18" hidden="true" outlineLevel="3">
      <c r="A6027" s="2" t="s">
        <v>11401</v>
      </c>
      <c r="B6027" s="3" t="s">
        <v>11402</v>
      </c>
      <c r="C6027" s="2"/>
      <c r="D6027" s="2" t="s">
        <v>16</v>
      </c>
      <c r="E6027" s="4">
        <f>223.32*(1-Z1%)</f>
        <v>223.32</v>
      </c>
      <c r="F6027" s="2">
        <v>1</v>
      </c>
      <c r="G6027" s="2"/>
    </row>
    <row r="6028" spans="1:26" customHeight="1" ht="36" hidden="true" outlineLevel="3">
      <c r="A6028" s="2" t="s">
        <v>11403</v>
      </c>
      <c r="B6028" s="3" t="s">
        <v>11404</v>
      </c>
      <c r="C6028" s="2"/>
      <c r="D6028" s="2" t="s">
        <v>16</v>
      </c>
      <c r="E6028" s="4">
        <f>164.55*(1-Z1%)</f>
        <v>164.55</v>
      </c>
      <c r="F6028" s="2">
        <v>2</v>
      </c>
      <c r="G6028" s="2"/>
    </row>
    <row r="6029" spans="1:26" customHeight="1" ht="36" hidden="true" outlineLevel="3">
      <c r="A6029" s="2" t="s">
        <v>11405</v>
      </c>
      <c r="B6029" s="3" t="s">
        <v>11404</v>
      </c>
      <c r="C6029" s="2"/>
      <c r="D6029" s="2" t="s">
        <v>16</v>
      </c>
      <c r="E6029" s="4">
        <f>269.20*(1-Z1%)</f>
        <v>269.2</v>
      </c>
      <c r="F6029" s="2">
        <v>2</v>
      </c>
      <c r="G6029" s="2"/>
    </row>
    <row r="6030" spans="1:26" customHeight="1" ht="18" hidden="true" outlineLevel="3">
      <c r="A6030" s="2" t="s">
        <v>11406</v>
      </c>
      <c r="B6030" s="3" t="s">
        <v>11407</v>
      </c>
      <c r="C6030" s="2"/>
      <c r="D6030" s="2" t="s">
        <v>16</v>
      </c>
      <c r="E6030" s="4">
        <f>184.39*(1-Z1%)</f>
        <v>184.39</v>
      </c>
      <c r="F6030" s="2">
        <v>1</v>
      </c>
      <c r="G6030" s="2"/>
    </row>
    <row r="6031" spans="1:26" customHeight="1" ht="35" hidden="true" outlineLevel="3">
      <c r="A6031" s="5" t="s">
        <v>11408</v>
      </c>
      <c r="B6031" s="5"/>
      <c r="C6031" s="5"/>
      <c r="D6031" s="5"/>
      <c r="E6031" s="5"/>
      <c r="F6031" s="5"/>
      <c r="G6031" s="5"/>
    </row>
    <row r="6032" spans="1:26" customHeight="1" ht="36" hidden="true" outlineLevel="3">
      <c r="A6032" s="2" t="s">
        <v>11409</v>
      </c>
      <c r="B6032" s="3" t="s">
        <v>11410</v>
      </c>
      <c r="C6032" s="2"/>
      <c r="D6032" s="2" t="s">
        <v>16</v>
      </c>
      <c r="E6032" s="4">
        <f>168.08*(1-Z1%)</f>
        <v>168.08</v>
      </c>
      <c r="F6032" s="2">
        <v>1</v>
      </c>
      <c r="G6032" s="2"/>
    </row>
    <row r="6033" spans="1:26" customHeight="1" ht="18" hidden="true" outlineLevel="3">
      <c r="A6033" s="2" t="s">
        <v>11411</v>
      </c>
      <c r="B6033" s="3" t="s">
        <v>11412</v>
      </c>
      <c r="C6033" s="2"/>
      <c r="D6033" s="2" t="s">
        <v>16</v>
      </c>
      <c r="E6033" s="4">
        <f>38.01*(1-Z1%)</f>
        <v>38.01</v>
      </c>
      <c r="F6033" s="2">
        <v>3</v>
      </c>
      <c r="G6033" s="2"/>
    </row>
    <row r="6034" spans="1:26" customHeight="1" ht="18" hidden="true" outlineLevel="3">
      <c r="A6034" s="2" t="s">
        <v>11413</v>
      </c>
      <c r="B6034" s="3" t="s">
        <v>11414</v>
      </c>
      <c r="C6034" s="2"/>
      <c r="D6034" s="2" t="s">
        <v>16</v>
      </c>
      <c r="E6034" s="4">
        <f>39.63*(1-Z1%)</f>
        <v>39.63</v>
      </c>
      <c r="F6034" s="2">
        <v>4</v>
      </c>
      <c r="G6034" s="2"/>
    </row>
    <row r="6035" spans="1:26" customHeight="1" ht="54" hidden="true" outlineLevel="3">
      <c r="A6035" s="2" t="s">
        <v>11415</v>
      </c>
      <c r="B6035" s="3" t="s">
        <v>11416</v>
      </c>
      <c r="C6035" s="2"/>
      <c r="D6035" s="2" t="s">
        <v>16</v>
      </c>
      <c r="E6035" s="4">
        <f>45.57*(1-Z1%)</f>
        <v>45.57</v>
      </c>
      <c r="F6035" s="2">
        <v>3</v>
      </c>
      <c r="G6035" s="2"/>
    </row>
    <row r="6036" spans="1:26" customHeight="1" ht="35" hidden="true" outlineLevel="2">
      <c r="A6036" s="5" t="s">
        <v>11417</v>
      </c>
      <c r="B6036" s="5"/>
      <c r="C6036" s="5"/>
      <c r="D6036" s="5"/>
      <c r="E6036" s="5"/>
      <c r="F6036" s="5"/>
      <c r="G6036" s="5"/>
    </row>
    <row r="6037" spans="1:26" customHeight="1" ht="35" hidden="true" outlineLevel="3">
      <c r="A6037" s="5" t="s">
        <v>11418</v>
      </c>
      <c r="B6037" s="5"/>
      <c r="C6037" s="5"/>
      <c r="D6037" s="5"/>
      <c r="E6037" s="5"/>
      <c r="F6037" s="5"/>
      <c r="G6037" s="5"/>
    </row>
    <row r="6038" spans="1:26" customHeight="1" ht="18" hidden="true" outlineLevel="3">
      <c r="A6038" s="2" t="s">
        <v>11419</v>
      </c>
      <c r="B6038" s="3" t="s">
        <v>11420</v>
      </c>
      <c r="C6038" s="2"/>
      <c r="D6038" s="2" t="s">
        <v>16</v>
      </c>
      <c r="E6038" s="4">
        <f>118.80*(1-Z1%)</f>
        <v>118.8</v>
      </c>
      <c r="F6038" s="2">
        <v>3</v>
      </c>
      <c r="G6038" s="2"/>
    </row>
    <row r="6039" spans="1:26" customHeight="1" ht="18" hidden="true" outlineLevel="3">
      <c r="A6039" s="2" t="s">
        <v>11421</v>
      </c>
      <c r="B6039" s="3" t="s">
        <v>11422</v>
      </c>
      <c r="C6039" s="2"/>
      <c r="D6039" s="2" t="s">
        <v>16</v>
      </c>
      <c r="E6039" s="4">
        <f>113.85*(1-Z1%)</f>
        <v>113.85</v>
      </c>
      <c r="F6039" s="2">
        <v>7</v>
      </c>
      <c r="G6039" s="2"/>
    </row>
    <row r="6040" spans="1:26" customHeight="1" ht="18" hidden="true" outlineLevel="3">
      <c r="A6040" s="2" t="s">
        <v>11423</v>
      </c>
      <c r="B6040" s="3" t="s">
        <v>11424</v>
      </c>
      <c r="C6040" s="2"/>
      <c r="D6040" s="2" t="s">
        <v>16</v>
      </c>
      <c r="E6040" s="4">
        <f>165.83*(1-Z1%)</f>
        <v>165.83</v>
      </c>
      <c r="F6040" s="2">
        <v>1</v>
      </c>
      <c r="G6040" s="2"/>
    </row>
    <row r="6041" spans="1:26" customHeight="1" ht="35" hidden="true" outlineLevel="3">
      <c r="A6041" s="5" t="s">
        <v>11425</v>
      </c>
      <c r="B6041" s="5"/>
      <c r="C6041" s="5"/>
      <c r="D6041" s="5"/>
      <c r="E6041" s="5"/>
      <c r="F6041" s="5"/>
      <c r="G6041" s="5"/>
    </row>
    <row r="6042" spans="1:26" customHeight="1" ht="54" hidden="true" outlineLevel="3">
      <c r="A6042" s="2" t="s">
        <v>11426</v>
      </c>
      <c r="B6042" s="3" t="s">
        <v>11427</v>
      </c>
      <c r="C6042" s="2"/>
      <c r="D6042" s="2" t="s">
        <v>16</v>
      </c>
      <c r="E6042" s="4">
        <f>144.28*(1-Z1%)</f>
        <v>144.28</v>
      </c>
      <c r="F6042" s="2">
        <v>3</v>
      </c>
      <c r="G6042" s="2"/>
    </row>
    <row r="6043" spans="1:26" customHeight="1" ht="35" hidden="true" outlineLevel="3">
      <c r="A6043" s="5" t="s">
        <v>11428</v>
      </c>
      <c r="B6043" s="5"/>
      <c r="C6043" s="5"/>
      <c r="D6043" s="5"/>
      <c r="E6043" s="5"/>
      <c r="F6043" s="5"/>
      <c r="G6043" s="5"/>
    </row>
    <row r="6044" spans="1:26" customHeight="1" ht="18" hidden="true" outlineLevel="3">
      <c r="A6044" s="2" t="s">
        <v>11429</v>
      </c>
      <c r="B6044" s="3" t="s">
        <v>11430</v>
      </c>
      <c r="C6044" s="2"/>
      <c r="D6044" s="2" t="s">
        <v>16</v>
      </c>
      <c r="E6044" s="4">
        <f>222.30*(1-Z1%)</f>
        <v>222.3</v>
      </c>
      <c r="F6044" s="2">
        <v>2</v>
      </c>
      <c r="G6044" s="2"/>
    </row>
    <row r="6045" spans="1:26" customHeight="1" ht="35" hidden="true" outlineLevel="3">
      <c r="A6045" s="5" t="s">
        <v>11431</v>
      </c>
      <c r="B6045" s="5"/>
      <c r="C6045" s="5"/>
      <c r="D6045" s="5"/>
      <c r="E6045" s="5"/>
      <c r="F6045" s="5"/>
      <c r="G6045" s="5"/>
    </row>
    <row r="6046" spans="1:26" customHeight="1" ht="18" hidden="true" outlineLevel="3">
      <c r="A6046" s="2" t="s">
        <v>11432</v>
      </c>
      <c r="B6046" s="3" t="s">
        <v>11433</v>
      </c>
      <c r="C6046" s="2"/>
      <c r="D6046" s="2" t="s">
        <v>16</v>
      </c>
      <c r="E6046" s="4">
        <f>165.94*(1-Z1%)</f>
        <v>165.94</v>
      </c>
      <c r="F6046" s="2">
        <v>1</v>
      </c>
      <c r="G6046" s="2"/>
    </row>
    <row r="6047" spans="1:26" customHeight="1" ht="18" hidden="true" outlineLevel="3">
      <c r="A6047" s="2" t="s">
        <v>11434</v>
      </c>
      <c r="B6047" s="3" t="s">
        <v>11435</v>
      </c>
      <c r="C6047" s="2"/>
      <c r="D6047" s="2" t="s">
        <v>16</v>
      </c>
      <c r="E6047" s="4">
        <f>180.23*(1-Z1%)</f>
        <v>180.23</v>
      </c>
      <c r="F6047" s="2">
        <v>3</v>
      </c>
      <c r="G6047" s="2"/>
    </row>
    <row r="6048" spans="1:26" customHeight="1" ht="36" hidden="true" outlineLevel="3">
      <c r="A6048" s="2" t="s">
        <v>11436</v>
      </c>
      <c r="B6048" s="3" t="s">
        <v>11437</v>
      </c>
      <c r="C6048" s="2"/>
      <c r="D6048" s="2" t="s">
        <v>16</v>
      </c>
      <c r="E6048" s="4">
        <f>133.60*(1-Z1%)</f>
        <v>133.6</v>
      </c>
      <c r="F6048" s="2">
        <v>2</v>
      </c>
      <c r="G6048" s="2"/>
    </row>
    <row r="6049" spans="1:26" customHeight="1" ht="35" hidden="true" outlineLevel="2">
      <c r="A6049" s="5" t="s">
        <v>11438</v>
      </c>
      <c r="B6049" s="5"/>
      <c r="C6049" s="5"/>
      <c r="D6049" s="5"/>
      <c r="E6049" s="5"/>
      <c r="F6049" s="5"/>
      <c r="G6049" s="5"/>
    </row>
    <row r="6050" spans="1:26" customHeight="1" ht="18" hidden="true" outlineLevel="2">
      <c r="A6050" s="2" t="s">
        <v>11439</v>
      </c>
      <c r="B6050" s="3" t="s">
        <v>11440</v>
      </c>
      <c r="C6050" s="2"/>
      <c r="D6050" s="2" t="s">
        <v>16</v>
      </c>
      <c r="E6050" s="4">
        <f>92.25*(1-Z1%)</f>
        <v>92.25</v>
      </c>
      <c r="F6050" s="2">
        <v>18</v>
      </c>
      <c r="G6050" s="2"/>
    </row>
    <row r="6051" spans="1:26" customHeight="1" ht="18" hidden="true" outlineLevel="2">
      <c r="A6051" s="2" t="s">
        <v>11441</v>
      </c>
      <c r="B6051" s="3" t="s">
        <v>11442</v>
      </c>
      <c r="C6051" s="2"/>
      <c r="D6051" s="2" t="s">
        <v>16</v>
      </c>
      <c r="E6051" s="4">
        <f>92.39*(1-Z1%)</f>
        <v>92.39</v>
      </c>
      <c r="F6051" s="2">
        <v>16</v>
      </c>
      <c r="G6051" s="2"/>
    </row>
    <row r="6052" spans="1:26" customHeight="1" ht="18" hidden="true" outlineLevel="2">
      <c r="A6052" s="2" t="s">
        <v>11443</v>
      </c>
      <c r="B6052" s="3" t="s">
        <v>11444</v>
      </c>
      <c r="C6052" s="2"/>
      <c r="D6052" s="2" t="s">
        <v>16</v>
      </c>
      <c r="E6052" s="4">
        <f>43.99*(1-Z1%)</f>
        <v>43.99</v>
      </c>
      <c r="F6052" s="2">
        <v>15</v>
      </c>
      <c r="G6052" s="2"/>
    </row>
    <row r="6053" spans="1:26" customHeight="1" ht="35" hidden="true" outlineLevel="2">
      <c r="A6053" s="5" t="s">
        <v>11445</v>
      </c>
      <c r="B6053" s="5"/>
      <c r="C6053" s="5"/>
      <c r="D6053" s="5"/>
      <c r="E6053" s="5"/>
      <c r="F6053" s="5"/>
      <c r="G6053" s="5"/>
    </row>
    <row r="6054" spans="1:26" customHeight="1" ht="35" hidden="true" outlineLevel="3">
      <c r="A6054" s="5" t="s">
        <v>11446</v>
      </c>
      <c r="B6054" s="5"/>
      <c r="C6054" s="5"/>
      <c r="D6054" s="5"/>
      <c r="E6054" s="5"/>
      <c r="F6054" s="5"/>
      <c r="G6054" s="5"/>
    </row>
    <row r="6055" spans="1:26" customHeight="1" ht="36" hidden="true" outlineLevel="3">
      <c r="A6055" s="2" t="s">
        <v>11447</v>
      </c>
      <c r="B6055" s="3" t="s">
        <v>11448</v>
      </c>
      <c r="C6055" s="2"/>
      <c r="D6055" s="2" t="s">
        <v>16</v>
      </c>
      <c r="E6055" s="4">
        <f>227.33*(1-Z1%)</f>
        <v>227.33</v>
      </c>
      <c r="F6055" s="2">
        <v>1</v>
      </c>
      <c r="G6055" s="2"/>
    </row>
    <row r="6056" spans="1:26" customHeight="1" ht="36" hidden="true" outlineLevel="3">
      <c r="A6056" s="2" t="s">
        <v>11449</v>
      </c>
      <c r="B6056" s="3" t="s">
        <v>11450</v>
      </c>
      <c r="C6056" s="2"/>
      <c r="D6056" s="2" t="s">
        <v>16</v>
      </c>
      <c r="E6056" s="4">
        <f>117.57*(1-Z1%)</f>
        <v>117.57</v>
      </c>
      <c r="F6056" s="2">
        <v>1</v>
      </c>
      <c r="G6056" s="2"/>
    </row>
    <row r="6057" spans="1:26" customHeight="1" ht="35" hidden="true" outlineLevel="3">
      <c r="A6057" s="5" t="s">
        <v>11451</v>
      </c>
      <c r="B6057" s="5"/>
      <c r="C6057" s="5"/>
      <c r="D6057" s="5"/>
      <c r="E6057" s="5"/>
      <c r="F6057" s="5"/>
      <c r="G6057" s="5"/>
    </row>
    <row r="6058" spans="1:26" customHeight="1" ht="18" hidden="true" outlineLevel="3">
      <c r="A6058" s="2" t="s">
        <v>11452</v>
      </c>
      <c r="B6058" s="3" t="s">
        <v>11453</v>
      </c>
      <c r="C6058" s="2"/>
      <c r="D6058" s="2" t="s">
        <v>16</v>
      </c>
      <c r="E6058" s="4">
        <f>140.19*(1-Z1%)</f>
        <v>140.19</v>
      </c>
      <c r="F6058" s="2">
        <v>2</v>
      </c>
      <c r="G6058" s="2"/>
    </row>
    <row r="6059" spans="1:26" customHeight="1" ht="36" hidden="true" outlineLevel="3">
      <c r="A6059" s="2" t="s">
        <v>11454</v>
      </c>
      <c r="B6059" s="3" t="s">
        <v>11455</v>
      </c>
      <c r="C6059" s="2"/>
      <c r="D6059" s="2" t="s">
        <v>16</v>
      </c>
      <c r="E6059" s="4">
        <f>421.88*(1-Z1%)</f>
        <v>421.88</v>
      </c>
      <c r="F6059" s="2">
        <v>3</v>
      </c>
      <c r="G6059" s="2"/>
    </row>
    <row r="6060" spans="1:26" customHeight="1" ht="18" hidden="true" outlineLevel="3">
      <c r="A6060" s="2" t="s">
        <v>11456</v>
      </c>
      <c r="B6060" s="3" t="s">
        <v>11457</v>
      </c>
      <c r="C6060" s="2"/>
      <c r="D6060" s="2" t="s">
        <v>16</v>
      </c>
      <c r="E6060" s="4">
        <f>5.21*(1-Z1%)</f>
        <v>5.21</v>
      </c>
      <c r="F6060" s="2">
        <v>19</v>
      </c>
      <c r="G6060" s="2"/>
    </row>
    <row r="6061" spans="1:26" customHeight="1" ht="36" hidden="true" outlineLevel="3">
      <c r="A6061" s="2" t="s">
        <v>11458</v>
      </c>
      <c r="B6061" s="3" t="s">
        <v>11459</v>
      </c>
      <c r="C6061" s="2"/>
      <c r="D6061" s="2" t="s">
        <v>16</v>
      </c>
      <c r="E6061" s="4">
        <f>23.63*(1-Z1%)</f>
        <v>23.63</v>
      </c>
      <c r="F6061" s="2">
        <v>20</v>
      </c>
      <c r="G6061" s="2"/>
    </row>
    <row r="6062" spans="1:26" customHeight="1" ht="36" hidden="true" outlineLevel="3">
      <c r="A6062" s="2" t="s">
        <v>11460</v>
      </c>
      <c r="B6062" s="3" t="s">
        <v>11461</v>
      </c>
      <c r="C6062" s="2"/>
      <c r="D6062" s="2" t="s">
        <v>16</v>
      </c>
      <c r="E6062" s="4">
        <f>15.83*(1-Z1%)</f>
        <v>15.83</v>
      </c>
      <c r="F6062" s="2">
        <v>30</v>
      </c>
      <c r="G6062" s="2"/>
    </row>
    <row r="6063" spans="1:26" customHeight="1" ht="36" hidden="true" outlineLevel="3">
      <c r="A6063" s="2" t="s">
        <v>11462</v>
      </c>
      <c r="B6063" s="3" t="s">
        <v>11463</v>
      </c>
      <c r="C6063" s="2"/>
      <c r="D6063" s="2" t="s">
        <v>16</v>
      </c>
      <c r="E6063" s="4">
        <f>232.84*(1-Z1%)</f>
        <v>232.84</v>
      </c>
      <c r="F6063" s="2">
        <v>2</v>
      </c>
      <c r="G6063" s="2"/>
    </row>
    <row r="6064" spans="1:26" customHeight="1" ht="36" hidden="true" outlineLevel="3">
      <c r="A6064" s="2" t="s">
        <v>11464</v>
      </c>
      <c r="B6064" s="3" t="s">
        <v>11465</v>
      </c>
      <c r="C6064" s="2"/>
      <c r="D6064" s="2" t="s">
        <v>16</v>
      </c>
      <c r="E6064" s="4">
        <f>5.55*(1-Z1%)</f>
        <v>5.55</v>
      </c>
      <c r="F6064" s="2">
        <v>10</v>
      </c>
      <c r="G6064" s="2"/>
    </row>
    <row r="6065" spans="1:26" customHeight="1" ht="18" hidden="true" outlineLevel="3">
      <c r="A6065" s="2" t="s">
        <v>11466</v>
      </c>
      <c r="B6065" s="3" t="s">
        <v>11467</v>
      </c>
      <c r="C6065" s="2"/>
      <c r="D6065" s="2" t="s">
        <v>16</v>
      </c>
      <c r="E6065" s="4">
        <f>419.89*(1-Z1%)</f>
        <v>419.89</v>
      </c>
      <c r="F6065" s="2">
        <v>3</v>
      </c>
      <c r="G6065" s="2"/>
    </row>
    <row r="6066" spans="1:26" customHeight="1" ht="18" hidden="true" outlineLevel="3">
      <c r="A6066" s="2" t="s">
        <v>11468</v>
      </c>
      <c r="B6066" s="3" t="s">
        <v>11469</v>
      </c>
      <c r="C6066" s="2"/>
      <c r="D6066" s="2" t="s">
        <v>16</v>
      </c>
      <c r="E6066" s="4">
        <f>132.85*(1-Z1%)</f>
        <v>132.85</v>
      </c>
      <c r="F6066" s="2">
        <v>2</v>
      </c>
      <c r="G6066" s="2"/>
    </row>
    <row r="6067" spans="1:26" customHeight="1" ht="18" hidden="true" outlineLevel="3">
      <c r="A6067" s="2" t="s">
        <v>11470</v>
      </c>
      <c r="B6067" s="3" t="s">
        <v>11471</v>
      </c>
      <c r="C6067" s="2"/>
      <c r="D6067" s="2" t="s">
        <v>16</v>
      </c>
      <c r="E6067" s="4">
        <f>158.71*(1-Z1%)</f>
        <v>158.71</v>
      </c>
      <c r="F6067" s="2">
        <v>3</v>
      </c>
      <c r="G6067" s="2"/>
    </row>
    <row r="6068" spans="1:26" customHeight="1" ht="35" hidden="true" outlineLevel="3">
      <c r="A6068" s="5" t="s">
        <v>11472</v>
      </c>
      <c r="B6068" s="5"/>
      <c r="C6068" s="5"/>
      <c r="D6068" s="5"/>
      <c r="E6068" s="5"/>
      <c r="F6068" s="5"/>
      <c r="G6068" s="5"/>
    </row>
    <row r="6069" spans="1:26" customHeight="1" ht="18" hidden="true" outlineLevel="3">
      <c r="A6069" s="2" t="s">
        <v>11473</v>
      </c>
      <c r="B6069" s="3" t="s">
        <v>11474</v>
      </c>
      <c r="C6069" s="2"/>
      <c r="D6069" s="2" t="s">
        <v>16</v>
      </c>
      <c r="E6069" s="4">
        <f>158.47*(1-Z1%)</f>
        <v>158.47</v>
      </c>
      <c r="F6069" s="2">
        <v>3</v>
      </c>
      <c r="G6069" s="2"/>
    </row>
    <row r="6070" spans="1:26" customHeight="1" ht="18" hidden="true" outlineLevel="3">
      <c r="A6070" s="2" t="s">
        <v>11475</v>
      </c>
      <c r="B6070" s="3" t="s">
        <v>11476</v>
      </c>
      <c r="C6070" s="2"/>
      <c r="D6070" s="2" t="s">
        <v>16</v>
      </c>
      <c r="E6070" s="4">
        <f>78.87*(1-Z1%)</f>
        <v>78.87</v>
      </c>
      <c r="F6070" s="2">
        <v>6</v>
      </c>
      <c r="G6070" s="2"/>
    </row>
    <row r="6071" spans="1:26" customHeight="1" ht="35" hidden="true" outlineLevel="3">
      <c r="A6071" s="5" t="s">
        <v>11477</v>
      </c>
      <c r="B6071" s="5"/>
      <c r="C6071" s="5"/>
      <c r="D6071" s="5"/>
      <c r="E6071" s="5"/>
      <c r="F6071" s="5"/>
      <c r="G6071" s="5"/>
    </row>
    <row r="6072" spans="1:26" customHeight="1" ht="36" hidden="true" outlineLevel="3">
      <c r="A6072" s="2" t="s">
        <v>11478</v>
      </c>
      <c r="B6072" s="3" t="s">
        <v>11479</v>
      </c>
      <c r="C6072" s="2"/>
      <c r="D6072" s="2" t="s">
        <v>16</v>
      </c>
      <c r="E6072" s="4">
        <f>30.94*(1-Z1%)</f>
        <v>30.94</v>
      </c>
      <c r="F6072" s="2">
        <v>12</v>
      </c>
      <c r="G6072" s="2"/>
    </row>
    <row r="6073" spans="1:26" customHeight="1" ht="36" hidden="true" outlineLevel="3">
      <c r="A6073" s="2" t="s">
        <v>11480</v>
      </c>
      <c r="B6073" s="3" t="s">
        <v>11481</v>
      </c>
      <c r="C6073" s="2"/>
      <c r="D6073" s="2" t="s">
        <v>16</v>
      </c>
      <c r="E6073" s="4">
        <f>48.27*(1-Z1%)</f>
        <v>48.27</v>
      </c>
      <c r="F6073" s="2">
        <v>6</v>
      </c>
      <c r="G6073" s="2"/>
    </row>
    <row r="6074" spans="1:26" customHeight="1" ht="36" hidden="true" outlineLevel="3">
      <c r="A6074" s="2" t="s">
        <v>11482</v>
      </c>
      <c r="B6074" s="3" t="s">
        <v>11483</v>
      </c>
      <c r="C6074" s="2"/>
      <c r="D6074" s="2" t="s">
        <v>16</v>
      </c>
      <c r="E6074" s="4">
        <f>81.82*(1-Z1%)</f>
        <v>81.82</v>
      </c>
      <c r="F6074" s="2">
        <v>5</v>
      </c>
      <c r="G6074" s="2"/>
    </row>
    <row r="6075" spans="1:26" customHeight="1" ht="35" hidden="true" outlineLevel="3">
      <c r="A6075" s="5" t="s">
        <v>11484</v>
      </c>
      <c r="B6075" s="5"/>
      <c r="C6075" s="5"/>
      <c r="D6075" s="5"/>
      <c r="E6075" s="5"/>
      <c r="F6075" s="5"/>
      <c r="G6075" s="5"/>
    </row>
    <row r="6076" spans="1:26" customHeight="1" ht="18" hidden="true" outlineLevel="3">
      <c r="A6076" s="2" t="s">
        <v>11485</v>
      </c>
      <c r="B6076" s="3" t="s">
        <v>11486</v>
      </c>
      <c r="C6076" s="2"/>
      <c r="D6076" s="2" t="s">
        <v>16</v>
      </c>
      <c r="E6076" s="4">
        <f>8.35*(1-Z1%)</f>
        <v>8.35</v>
      </c>
      <c r="F6076" s="2">
        <v>120</v>
      </c>
      <c r="G6076" s="2"/>
    </row>
    <row r="6077" spans="1:26" customHeight="1" ht="18" hidden="true" outlineLevel="3">
      <c r="A6077" s="2" t="s">
        <v>11487</v>
      </c>
      <c r="B6077" s="3" t="s">
        <v>11488</v>
      </c>
      <c r="C6077" s="2"/>
      <c r="D6077" s="2" t="s">
        <v>16</v>
      </c>
      <c r="E6077" s="4">
        <f>8.35*(1-Z1%)</f>
        <v>8.35</v>
      </c>
      <c r="F6077" s="2">
        <v>180</v>
      </c>
      <c r="G6077" s="2"/>
    </row>
    <row r="6078" spans="1:26" customHeight="1" ht="18" hidden="true" outlineLevel="3">
      <c r="A6078" s="2" t="s">
        <v>11489</v>
      </c>
      <c r="B6078" s="3" t="s">
        <v>11490</v>
      </c>
      <c r="C6078" s="2"/>
      <c r="D6078" s="2" t="s">
        <v>16</v>
      </c>
      <c r="E6078" s="4">
        <f>8.35*(1-Z1%)</f>
        <v>8.35</v>
      </c>
      <c r="F6078" s="2">
        <v>324</v>
      </c>
      <c r="G6078" s="2"/>
    </row>
    <row r="6079" spans="1:26" customHeight="1" ht="36" hidden="true" outlineLevel="3">
      <c r="A6079" s="2" t="s">
        <v>11491</v>
      </c>
      <c r="B6079" s="3" t="s">
        <v>11492</v>
      </c>
      <c r="C6079" s="2"/>
      <c r="D6079" s="2" t="s">
        <v>16</v>
      </c>
      <c r="E6079" s="4">
        <f>64.14*(1-Z1%)</f>
        <v>64.14</v>
      </c>
      <c r="F6079" s="2">
        <v>7</v>
      </c>
      <c r="G6079" s="2"/>
    </row>
    <row r="6080" spans="1:26" customHeight="1" ht="36" hidden="true" outlineLevel="3">
      <c r="A6080" s="2" t="s">
        <v>11493</v>
      </c>
      <c r="B6080" s="3" t="s">
        <v>11494</v>
      </c>
      <c r="C6080" s="2"/>
      <c r="D6080" s="2" t="s">
        <v>16</v>
      </c>
      <c r="E6080" s="4">
        <f>74.06*(1-Z1%)</f>
        <v>74.06</v>
      </c>
      <c r="F6080" s="2">
        <v>133</v>
      </c>
      <c r="G6080" s="2"/>
    </row>
    <row r="6081" spans="1:26" customHeight="1" ht="35" hidden="true" outlineLevel="3">
      <c r="A6081" s="5" t="s">
        <v>11495</v>
      </c>
      <c r="B6081" s="5"/>
      <c r="C6081" s="5"/>
      <c r="D6081" s="5"/>
      <c r="E6081" s="5"/>
      <c r="F6081" s="5"/>
      <c r="G6081" s="5"/>
    </row>
    <row r="6082" spans="1:26" customHeight="1" ht="36" hidden="true" outlineLevel="3">
      <c r="A6082" s="2" t="s">
        <v>11496</v>
      </c>
      <c r="B6082" s="3" t="s">
        <v>11497</v>
      </c>
      <c r="C6082" s="2"/>
      <c r="D6082" s="2" t="s">
        <v>16</v>
      </c>
      <c r="E6082" s="4">
        <f>76.36*(1-Z1%)</f>
        <v>76.36</v>
      </c>
      <c r="F6082" s="2">
        <v>9</v>
      </c>
      <c r="G6082" s="2"/>
    </row>
    <row r="6083" spans="1:26" customHeight="1" ht="35" hidden="true" outlineLevel="3">
      <c r="A6083" s="5" t="s">
        <v>11498</v>
      </c>
      <c r="B6083" s="5"/>
      <c r="C6083" s="5"/>
      <c r="D6083" s="5"/>
      <c r="E6083" s="5"/>
      <c r="F6083" s="5"/>
      <c r="G6083" s="5"/>
    </row>
    <row r="6084" spans="1:26" customHeight="1" ht="18" hidden="true" outlineLevel="3">
      <c r="A6084" s="2" t="s">
        <v>11499</v>
      </c>
      <c r="B6084" s="3" t="s">
        <v>11500</v>
      </c>
      <c r="C6084" s="2"/>
      <c r="D6084" s="2" t="s">
        <v>16</v>
      </c>
      <c r="E6084" s="4">
        <f>53.39*(1-Z1%)</f>
        <v>53.39</v>
      </c>
      <c r="F6084" s="2">
        <v>4</v>
      </c>
      <c r="G6084" s="2"/>
    </row>
    <row r="6085" spans="1:26" customHeight="1" ht="36" hidden="true" outlineLevel="3">
      <c r="A6085" s="2" t="s">
        <v>11501</v>
      </c>
      <c r="B6085" s="3" t="s">
        <v>11502</v>
      </c>
      <c r="C6085" s="2"/>
      <c r="D6085" s="2" t="s">
        <v>16</v>
      </c>
      <c r="E6085" s="4">
        <f>102.38*(1-Z1%)</f>
        <v>102.38</v>
      </c>
      <c r="F6085" s="2">
        <v>1</v>
      </c>
      <c r="G6085" s="2"/>
    </row>
    <row r="6086" spans="1:26" customHeight="1" ht="36" hidden="true" outlineLevel="3">
      <c r="A6086" s="2" t="s">
        <v>11503</v>
      </c>
      <c r="B6086" s="3" t="s">
        <v>11504</v>
      </c>
      <c r="C6086" s="2"/>
      <c r="D6086" s="2" t="s">
        <v>16</v>
      </c>
      <c r="E6086" s="4">
        <f>104.35*(1-Z1%)</f>
        <v>104.35</v>
      </c>
      <c r="F6086" s="2">
        <v>14</v>
      </c>
      <c r="G6086" s="2"/>
    </row>
    <row r="6087" spans="1:26" customHeight="1" ht="36" hidden="true" outlineLevel="3">
      <c r="A6087" s="2" t="s">
        <v>11505</v>
      </c>
      <c r="B6087" s="3" t="s">
        <v>11506</v>
      </c>
      <c r="C6087" s="2"/>
      <c r="D6087" s="2" t="s">
        <v>16</v>
      </c>
      <c r="E6087" s="4">
        <f>104.35*(1-Z1%)</f>
        <v>104.35</v>
      </c>
      <c r="F6087" s="2">
        <v>9</v>
      </c>
      <c r="G6087" s="2"/>
    </row>
    <row r="6088" spans="1:26" customHeight="1" ht="36" hidden="true" outlineLevel="3">
      <c r="A6088" s="2" t="s">
        <v>11507</v>
      </c>
      <c r="B6088" s="3" t="s">
        <v>11508</v>
      </c>
      <c r="C6088" s="2"/>
      <c r="D6088" s="2" t="s">
        <v>16</v>
      </c>
      <c r="E6088" s="4">
        <f>102.75*(1-Z1%)</f>
        <v>102.75</v>
      </c>
      <c r="F6088" s="2">
        <v>16</v>
      </c>
      <c r="G6088" s="2"/>
    </row>
    <row r="6089" spans="1:26" customHeight="1" ht="36" hidden="true" outlineLevel="3">
      <c r="A6089" s="2" t="s">
        <v>11509</v>
      </c>
      <c r="B6089" s="3" t="s">
        <v>11510</v>
      </c>
      <c r="C6089" s="2"/>
      <c r="D6089" s="2" t="s">
        <v>16</v>
      </c>
      <c r="E6089" s="4">
        <f>86.12*(1-Z1%)</f>
        <v>86.12</v>
      </c>
      <c r="F6089" s="2">
        <v>8</v>
      </c>
      <c r="G6089" s="2"/>
    </row>
    <row r="6090" spans="1:26" customHeight="1" ht="18" hidden="true" outlineLevel="3">
      <c r="A6090" s="2" t="s">
        <v>11511</v>
      </c>
      <c r="B6090" s="3" t="s">
        <v>11512</v>
      </c>
      <c r="C6090" s="2"/>
      <c r="D6090" s="2" t="s">
        <v>16</v>
      </c>
      <c r="E6090" s="4">
        <f>74.92*(1-Z1%)</f>
        <v>74.92</v>
      </c>
      <c r="F6090" s="2">
        <v>11</v>
      </c>
      <c r="G6090" s="2"/>
    </row>
    <row r="6091" spans="1:26" customHeight="1" ht="54" hidden="true" outlineLevel="3">
      <c r="A6091" s="2" t="s">
        <v>11513</v>
      </c>
      <c r="B6091" s="3" t="s">
        <v>11514</v>
      </c>
      <c r="C6091" s="2"/>
      <c r="D6091" s="2" t="s">
        <v>16</v>
      </c>
      <c r="E6091" s="4">
        <f>79.20*(1-Z1%)</f>
        <v>79.2</v>
      </c>
      <c r="F6091" s="2">
        <v>4</v>
      </c>
      <c r="G6091" s="2"/>
    </row>
    <row r="6092" spans="1:26" customHeight="1" ht="54" hidden="true" outlineLevel="3">
      <c r="A6092" s="2" t="s">
        <v>11515</v>
      </c>
      <c r="B6092" s="3" t="s">
        <v>11516</v>
      </c>
      <c r="C6092" s="2"/>
      <c r="D6092" s="2" t="s">
        <v>16</v>
      </c>
      <c r="E6092" s="4">
        <f>83.81*(1-Z1%)</f>
        <v>83.81</v>
      </c>
      <c r="F6092" s="2">
        <v>8</v>
      </c>
      <c r="G6092" s="2"/>
    </row>
    <row r="6093" spans="1:26" customHeight="1" ht="54" hidden="true" outlineLevel="3">
      <c r="A6093" s="2" t="s">
        <v>11517</v>
      </c>
      <c r="B6093" s="3" t="s">
        <v>11518</v>
      </c>
      <c r="C6093" s="2"/>
      <c r="D6093" s="2" t="s">
        <v>16</v>
      </c>
      <c r="E6093" s="4">
        <f>96.60*(1-Z1%)</f>
        <v>96.6</v>
      </c>
      <c r="F6093" s="2">
        <v>5</v>
      </c>
      <c r="G6093" s="2"/>
    </row>
    <row r="6094" spans="1:26" customHeight="1" ht="18" hidden="true" outlineLevel="3">
      <c r="A6094" s="2" t="s">
        <v>11519</v>
      </c>
      <c r="B6094" s="3" t="s">
        <v>11520</v>
      </c>
      <c r="C6094" s="2"/>
      <c r="D6094" s="2" t="s">
        <v>16</v>
      </c>
      <c r="E6094" s="4">
        <f>71.63*(1-Z1%)</f>
        <v>71.63</v>
      </c>
      <c r="F6094" s="2">
        <v>13</v>
      </c>
      <c r="G6094" s="2"/>
    </row>
    <row r="6095" spans="1:26" customHeight="1" ht="35" hidden="true" outlineLevel="3">
      <c r="A6095" s="5" t="s">
        <v>11521</v>
      </c>
      <c r="B6095" s="5"/>
      <c r="C6095" s="5"/>
      <c r="D6095" s="5"/>
      <c r="E6095" s="5"/>
      <c r="F6095" s="5"/>
      <c r="G6095" s="5"/>
    </row>
    <row r="6096" spans="1:26" customHeight="1" ht="36" hidden="true" outlineLevel="3">
      <c r="A6096" s="2" t="s">
        <v>11522</v>
      </c>
      <c r="B6096" s="3" t="s">
        <v>11523</v>
      </c>
      <c r="C6096" s="2"/>
      <c r="D6096" s="2" t="s">
        <v>16</v>
      </c>
      <c r="E6096" s="4">
        <f>402.22*(1-Z1%)</f>
        <v>402.22</v>
      </c>
      <c r="F6096" s="2">
        <v>1</v>
      </c>
      <c r="G6096" s="2"/>
    </row>
    <row r="6097" spans="1:26" customHeight="1" ht="54" hidden="true" outlineLevel="3">
      <c r="A6097" s="2" t="s">
        <v>11524</v>
      </c>
      <c r="B6097" s="3" t="s">
        <v>11525</v>
      </c>
      <c r="C6097" s="2"/>
      <c r="D6097" s="2" t="s">
        <v>16</v>
      </c>
      <c r="E6097" s="4">
        <f>102.60*(1-Z1%)</f>
        <v>102.6</v>
      </c>
      <c r="F6097" s="2">
        <v>1</v>
      </c>
      <c r="G6097" s="2"/>
    </row>
    <row r="6098" spans="1:26" customHeight="1" ht="18" hidden="true" outlineLevel="3">
      <c r="A6098" s="2" t="s">
        <v>11526</v>
      </c>
      <c r="B6098" s="3" t="s">
        <v>11527</v>
      </c>
      <c r="C6098" s="2"/>
      <c r="D6098" s="2" t="s">
        <v>16</v>
      </c>
      <c r="E6098" s="4">
        <f>112.66*(1-Z1%)</f>
        <v>112.66</v>
      </c>
      <c r="F6098" s="2">
        <v>1</v>
      </c>
      <c r="G6098" s="2"/>
    </row>
    <row r="6099" spans="1:26" customHeight="1" ht="35" hidden="true" outlineLevel="2">
      <c r="A6099" s="5" t="s">
        <v>11528</v>
      </c>
      <c r="B6099" s="5"/>
      <c r="C6099" s="5"/>
      <c r="D6099" s="5"/>
      <c r="E6099" s="5"/>
      <c r="F6099" s="5"/>
      <c r="G6099" s="5"/>
    </row>
    <row r="6100" spans="1:26" customHeight="1" ht="18" hidden="true" outlineLevel="2">
      <c r="A6100" s="2" t="s">
        <v>11529</v>
      </c>
      <c r="B6100" s="3" t="s">
        <v>11530</v>
      </c>
      <c r="C6100" s="2"/>
      <c r="D6100" s="2" t="s">
        <v>16</v>
      </c>
      <c r="E6100" s="4">
        <f>119.70*(1-Z1%)</f>
        <v>119.7</v>
      </c>
      <c r="F6100" s="2">
        <v>50</v>
      </c>
      <c r="G6100" s="2"/>
    </row>
    <row r="6101" spans="1:26" customHeight="1" ht="18" hidden="true" outlineLevel="2">
      <c r="A6101" s="2" t="s">
        <v>11531</v>
      </c>
      <c r="B6101" s="3" t="s">
        <v>11532</v>
      </c>
      <c r="C6101" s="2"/>
      <c r="D6101" s="2" t="s">
        <v>16</v>
      </c>
      <c r="E6101" s="4">
        <f>18.81*(1-Z1%)</f>
        <v>18.81</v>
      </c>
      <c r="F6101" s="2">
        <v>30</v>
      </c>
      <c r="G6101" s="2"/>
    </row>
    <row r="6102" spans="1:26" customHeight="1" ht="36" hidden="true" outlineLevel="2">
      <c r="A6102" s="2" t="s">
        <v>11533</v>
      </c>
      <c r="B6102" s="3" t="s">
        <v>11534</v>
      </c>
      <c r="C6102" s="2"/>
      <c r="D6102" s="2" t="s">
        <v>16</v>
      </c>
      <c r="E6102" s="4">
        <f>30.48*(1-Z1%)</f>
        <v>30.48</v>
      </c>
      <c r="F6102" s="2">
        <v>7</v>
      </c>
      <c r="G6102" s="2"/>
    </row>
    <row r="6103" spans="1:26" customHeight="1" ht="36" hidden="true" outlineLevel="2">
      <c r="A6103" s="2" t="s">
        <v>11535</v>
      </c>
      <c r="B6103" s="3" t="s">
        <v>11536</v>
      </c>
      <c r="C6103" s="2"/>
      <c r="D6103" s="2" t="s">
        <v>16</v>
      </c>
      <c r="E6103" s="4">
        <f>30.48*(1-Z1%)</f>
        <v>30.48</v>
      </c>
      <c r="F6103" s="2">
        <v>6</v>
      </c>
      <c r="G6103" s="2"/>
    </row>
    <row r="6104" spans="1:26" customHeight="1" ht="36" hidden="true" outlineLevel="2">
      <c r="A6104" s="2" t="s">
        <v>11537</v>
      </c>
      <c r="B6104" s="3" t="s">
        <v>11538</v>
      </c>
      <c r="C6104" s="2"/>
      <c r="D6104" s="2" t="s">
        <v>16</v>
      </c>
      <c r="E6104" s="4">
        <f>30.48*(1-Z1%)</f>
        <v>30.48</v>
      </c>
      <c r="F6104" s="2">
        <v>4</v>
      </c>
      <c r="G6104" s="2"/>
    </row>
    <row r="6105" spans="1:26" customHeight="1" ht="36" hidden="true" outlineLevel="2">
      <c r="A6105" s="2" t="s">
        <v>11539</v>
      </c>
      <c r="B6105" s="3" t="s">
        <v>11540</v>
      </c>
      <c r="C6105" s="2"/>
      <c r="D6105" s="2" t="s">
        <v>16</v>
      </c>
      <c r="E6105" s="4">
        <f>30.48*(1-Z1%)</f>
        <v>30.48</v>
      </c>
      <c r="F6105" s="2">
        <v>31</v>
      </c>
      <c r="G6105" s="2"/>
    </row>
    <row r="6106" spans="1:26" customHeight="1" ht="36" hidden="true" outlineLevel="2">
      <c r="A6106" s="2" t="s">
        <v>11541</v>
      </c>
      <c r="B6106" s="3" t="s">
        <v>11542</v>
      </c>
      <c r="C6106" s="2"/>
      <c r="D6106" s="2" t="s">
        <v>16</v>
      </c>
      <c r="E6106" s="4">
        <f>30.48*(1-Z1%)</f>
        <v>30.48</v>
      </c>
      <c r="F6106" s="2">
        <v>20</v>
      </c>
      <c r="G6106" s="2"/>
    </row>
    <row r="6107" spans="1:26" customHeight="1" ht="35" hidden="true" outlineLevel="2">
      <c r="A6107" s="5" t="s">
        <v>11543</v>
      </c>
      <c r="B6107" s="5"/>
      <c r="C6107" s="5"/>
      <c r="D6107" s="5"/>
      <c r="E6107" s="5"/>
      <c r="F6107" s="5"/>
      <c r="G6107" s="5"/>
    </row>
    <row r="6108" spans="1:26" customHeight="1" ht="18" hidden="true" outlineLevel="2">
      <c r="A6108" s="2" t="s">
        <v>11544</v>
      </c>
      <c r="B6108" s="3" t="s">
        <v>11545</v>
      </c>
      <c r="C6108" s="2"/>
      <c r="D6108" s="2" t="s">
        <v>16</v>
      </c>
      <c r="E6108" s="4">
        <f>32.18*(1-Z1%)</f>
        <v>32.18</v>
      </c>
      <c r="F6108" s="2">
        <v>1</v>
      </c>
      <c r="G6108" s="2"/>
    </row>
    <row r="6109" spans="1:26" customHeight="1" ht="18" hidden="true" outlineLevel="2">
      <c r="A6109" s="2" t="s">
        <v>11546</v>
      </c>
      <c r="B6109" s="3" t="s">
        <v>11547</v>
      </c>
      <c r="C6109" s="2"/>
      <c r="D6109" s="2" t="s">
        <v>16</v>
      </c>
      <c r="E6109" s="4">
        <f>48.89*(1-Z1%)</f>
        <v>48.89</v>
      </c>
      <c r="F6109" s="2">
        <v>11</v>
      </c>
      <c r="G6109" s="2"/>
    </row>
    <row r="6110" spans="1:26" customHeight="1" ht="18" hidden="true" outlineLevel="2">
      <c r="A6110" s="2" t="s">
        <v>11548</v>
      </c>
      <c r="B6110" s="3" t="s">
        <v>11549</v>
      </c>
      <c r="C6110" s="2"/>
      <c r="D6110" s="2" t="s">
        <v>16</v>
      </c>
      <c r="E6110" s="4">
        <f>48.89*(1-Z1%)</f>
        <v>48.89</v>
      </c>
      <c r="F6110" s="2">
        <v>12</v>
      </c>
      <c r="G6110" s="2"/>
    </row>
    <row r="6111" spans="1:26" customHeight="1" ht="18" hidden="true" outlineLevel="2">
      <c r="A6111" s="2" t="s">
        <v>11550</v>
      </c>
      <c r="B6111" s="3" t="s">
        <v>11551</v>
      </c>
      <c r="C6111" s="2"/>
      <c r="D6111" s="2" t="s">
        <v>16</v>
      </c>
      <c r="E6111" s="4">
        <f>89.72*(1-Z1%)</f>
        <v>89.72</v>
      </c>
      <c r="F6111" s="2">
        <v>10</v>
      </c>
      <c r="G6111" s="2"/>
    </row>
    <row r="6112" spans="1:26" customHeight="1" ht="18" hidden="true" outlineLevel="2">
      <c r="A6112" s="2" t="s">
        <v>11552</v>
      </c>
      <c r="B6112" s="3" t="s">
        <v>11553</v>
      </c>
      <c r="C6112" s="2"/>
      <c r="D6112" s="2" t="s">
        <v>16</v>
      </c>
      <c r="E6112" s="4">
        <f>260.41*(1-Z1%)</f>
        <v>260.41</v>
      </c>
      <c r="F6112" s="2">
        <v>1</v>
      </c>
      <c r="G6112" s="2"/>
    </row>
    <row r="6113" spans="1:26" customHeight="1" ht="36" hidden="true" outlineLevel="2">
      <c r="A6113" s="2" t="s">
        <v>11554</v>
      </c>
      <c r="B6113" s="3" t="s">
        <v>11555</v>
      </c>
      <c r="C6113" s="2"/>
      <c r="D6113" s="2" t="s">
        <v>16</v>
      </c>
      <c r="E6113" s="4">
        <f>140.93*(1-Z1%)</f>
        <v>140.93</v>
      </c>
      <c r="F6113" s="2">
        <v>1</v>
      </c>
      <c r="G6113" s="2"/>
    </row>
    <row r="6114" spans="1:26" customHeight="1" ht="36" hidden="true" outlineLevel="2">
      <c r="A6114" s="2" t="s">
        <v>11556</v>
      </c>
      <c r="B6114" s="3" t="s">
        <v>11557</v>
      </c>
      <c r="C6114" s="2"/>
      <c r="D6114" s="2" t="s">
        <v>16</v>
      </c>
      <c r="E6114" s="4">
        <f>145.53*(1-Z1%)</f>
        <v>145.53</v>
      </c>
      <c r="F6114" s="2">
        <v>1</v>
      </c>
      <c r="G6114" s="2"/>
    </row>
    <row r="6115" spans="1:26" customHeight="1" ht="18" hidden="true" outlineLevel="2">
      <c r="A6115" s="2" t="s">
        <v>11558</v>
      </c>
      <c r="B6115" s="3" t="s">
        <v>11559</v>
      </c>
      <c r="C6115" s="2"/>
      <c r="D6115" s="2" t="s">
        <v>16</v>
      </c>
      <c r="E6115" s="4">
        <f>150.52*(1-Z1%)</f>
        <v>150.52</v>
      </c>
      <c r="F6115" s="2">
        <v>2</v>
      </c>
      <c r="G6115" s="2"/>
    </row>
    <row r="6116" spans="1:26" customHeight="1" ht="18" hidden="true" outlineLevel="2">
      <c r="A6116" s="2" t="s">
        <v>11560</v>
      </c>
      <c r="B6116" s="3" t="s">
        <v>11561</v>
      </c>
      <c r="C6116" s="2"/>
      <c r="D6116" s="2" t="s">
        <v>16</v>
      </c>
      <c r="E6116" s="4">
        <f>165.83*(1-Z1%)</f>
        <v>165.83</v>
      </c>
      <c r="F6116" s="2">
        <v>1</v>
      </c>
      <c r="G6116" s="2"/>
    </row>
    <row r="6117" spans="1:26" customHeight="1" ht="18" hidden="true" outlineLevel="2">
      <c r="A6117" s="2" t="s">
        <v>11562</v>
      </c>
      <c r="B6117" s="3" t="s">
        <v>11563</v>
      </c>
      <c r="C6117" s="2"/>
      <c r="D6117" s="2" t="s">
        <v>16</v>
      </c>
      <c r="E6117" s="4">
        <f>175.57*(1-Z1%)</f>
        <v>175.57</v>
      </c>
      <c r="F6117" s="2">
        <v>3</v>
      </c>
      <c r="G6117" s="2"/>
    </row>
    <row r="6118" spans="1:26" customHeight="1" ht="18" hidden="true" outlineLevel="2">
      <c r="A6118" s="2" t="s">
        <v>11564</v>
      </c>
      <c r="B6118" s="3" t="s">
        <v>11565</v>
      </c>
      <c r="C6118" s="2"/>
      <c r="D6118" s="2" t="s">
        <v>16</v>
      </c>
      <c r="E6118" s="4">
        <f>351.43*(1-Z1%)</f>
        <v>351.43</v>
      </c>
      <c r="F6118" s="2">
        <v>2</v>
      </c>
      <c r="G6118" s="2"/>
    </row>
    <row r="6119" spans="1:26" customHeight="1" ht="35" hidden="true" outlineLevel="2">
      <c r="A6119" s="5" t="s">
        <v>11566</v>
      </c>
      <c r="B6119" s="5"/>
      <c r="C6119" s="5"/>
      <c r="D6119" s="5"/>
      <c r="E6119" s="5"/>
      <c r="F6119" s="5"/>
      <c r="G6119" s="5"/>
    </row>
    <row r="6120" spans="1:26" customHeight="1" ht="35" hidden="true" outlineLevel="3">
      <c r="A6120" s="5" t="s">
        <v>11567</v>
      </c>
      <c r="B6120" s="5"/>
      <c r="C6120" s="5"/>
      <c r="D6120" s="5"/>
      <c r="E6120" s="5"/>
      <c r="F6120" s="5"/>
      <c r="G6120" s="5"/>
    </row>
    <row r="6121" spans="1:26" customHeight="1" ht="18" hidden="true" outlineLevel="3">
      <c r="A6121" s="2" t="s">
        <v>11568</v>
      </c>
      <c r="B6121" s="3" t="s">
        <v>11569</v>
      </c>
      <c r="C6121" s="2"/>
      <c r="D6121" s="2" t="s">
        <v>16</v>
      </c>
      <c r="E6121" s="4">
        <f>96.19*(1-Z1%)</f>
        <v>96.19</v>
      </c>
      <c r="F6121" s="2">
        <v>5</v>
      </c>
      <c r="G6121" s="2"/>
    </row>
    <row r="6122" spans="1:26" customHeight="1" ht="35" hidden="true" outlineLevel="3">
      <c r="A6122" s="5" t="s">
        <v>11570</v>
      </c>
      <c r="B6122" s="5"/>
      <c r="C6122" s="5"/>
      <c r="D6122" s="5"/>
      <c r="E6122" s="5"/>
      <c r="F6122" s="5"/>
      <c r="G6122" s="5"/>
    </row>
    <row r="6123" spans="1:26" customHeight="1" ht="18" hidden="true" outlineLevel="3">
      <c r="A6123" s="2" t="s">
        <v>11571</v>
      </c>
      <c r="B6123" s="3" t="s">
        <v>11572</v>
      </c>
      <c r="C6123" s="2"/>
      <c r="D6123" s="2" t="s">
        <v>16</v>
      </c>
      <c r="E6123" s="4">
        <f>168.75*(1-Z1%)</f>
        <v>168.75</v>
      </c>
      <c r="F6123" s="2">
        <v>1</v>
      </c>
      <c r="G6123" s="2"/>
    </row>
    <row r="6124" spans="1:26" customHeight="1" ht="18" hidden="true" outlineLevel="3">
      <c r="A6124" s="2" t="s">
        <v>11573</v>
      </c>
      <c r="B6124" s="3" t="s">
        <v>11574</v>
      </c>
      <c r="C6124" s="2"/>
      <c r="D6124" s="2" t="s">
        <v>16</v>
      </c>
      <c r="E6124" s="4">
        <f>68.00*(1-Z1%)</f>
        <v>68</v>
      </c>
      <c r="F6124" s="2">
        <v>6</v>
      </c>
      <c r="G6124" s="2"/>
    </row>
    <row r="6125" spans="1:26" customHeight="1" ht="18" hidden="true" outlineLevel="3">
      <c r="A6125" s="2" t="s">
        <v>11575</v>
      </c>
      <c r="B6125" s="3" t="s">
        <v>11576</v>
      </c>
      <c r="C6125" s="2"/>
      <c r="D6125" s="2" t="s">
        <v>16</v>
      </c>
      <c r="E6125" s="4">
        <f>95.29*(1-Z1%)</f>
        <v>95.29</v>
      </c>
      <c r="F6125" s="2">
        <v>7</v>
      </c>
      <c r="G6125" s="2"/>
    </row>
    <row r="6126" spans="1:26" customHeight="1" ht="18" hidden="true" outlineLevel="3">
      <c r="A6126" s="2" t="s">
        <v>11577</v>
      </c>
      <c r="B6126" s="3" t="s">
        <v>11578</v>
      </c>
      <c r="C6126" s="2"/>
      <c r="D6126" s="2" t="s">
        <v>16</v>
      </c>
      <c r="E6126" s="4">
        <f>107.33*(1-Z1%)</f>
        <v>107.33</v>
      </c>
      <c r="F6126" s="2">
        <v>4</v>
      </c>
      <c r="G6126" s="2"/>
    </row>
    <row r="6127" spans="1:26" customHeight="1" ht="18" hidden="true" outlineLevel="3">
      <c r="A6127" s="2" t="s">
        <v>11579</v>
      </c>
      <c r="B6127" s="3" t="s">
        <v>11580</v>
      </c>
      <c r="C6127" s="2"/>
      <c r="D6127" s="2" t="s">
        <v>16</v>
      </c>
      <c r="E6127" s="4">
        <f>138.72*(1-Z1%)</f>
        <v>138.72</v>
      </c>
      <c r="F6127" s="2">
        <v>7</v>
      </c>
      <c r="G6127" s="2"/>
    </row>
    <row r="6128" spans="1:26" customHeight="1" ht="18" hidden="true" outlineLevel="3">
      <c r="A6128" s="2" t="s">
        <v>11581</v>
      </c>
      <c r="B6128" s="3" t="s">
        <v>11582</v>
      </c>
      <c r="C6128" s="2"/>
      <c r="D6128" s="2" t="s">
        <v>16</v>
      </c>
      <c r="E6128" s="4">
        <f>72.00*(1-Z1%)</f>
        <v>72</v>
      </c>
      <c r="F6128" s="2">
        <v>10</v>
      </c>
      <c r="G6128" s="2"/>
    </row>
    <row r="6129" spans="1:26" customHeight="1" ht="18" hidden="true" outlineLevel="3">
      <c r="A6129" s="2" t="s">
        <v>11583</v>
      </c>
      <c r="B6129" s="3" t="s">
        <v>11584</v>
      </c>
      <c r="C6129" s="2"/>
      <c r="D6129" s="2" t="s">
        <v>16</v>
      </c>
      <c r="E6129" s="4">
        <f>97.88*(1-Z1%)</f>
        <v>97.88</v>
      </c>
      <c r="F6129" s="2">
        <v>14</v>
      </c>
      <c r="G6129" s="2"/>
    </row>
    <row r="6130" spans="1:26" customHeight="1" ht="18" hidden="true" outlineLevel="3">
      <c r="A6130" s="2" t="s">
        <v>11585</v>
      </c>
      <c r="B6130" s="3" t="s">
        <v>11586</v>
      </c>
      <c r="C6130" s="2"/>
      <c r="D6130" s="2" t="s">
        <v>16</v>
      </c>
      <c r="E6130" s="4">
        <f>114.30*(1-Z1%)</f>
        <v>114.3</v>
      </c>
      <c r="F6130" s="2">
        <v>7</v>
      </c>
      <c r="G6130" s="2"/>
    </row>
    <row r="6131" spans="1:26" customHeight="1" ht="18" hidden="true" outlineLevel="3">
      <c r="A6131" s="2" t="s">
        <v>11587</v>
      </c>
      <c r="B6131" s="3" t="s">
        <v>11588</v>
      </c>
      <c r="C6131" s="2"/>
      <c r="D6131" s="2" t="s">
        <v>16</v>
      </c>
      <c r="E6131" s="4">
        <f>126.34*(1-Z1%)</f>
        <v>126.34</v>
      </c>
      <c r="F6131" s="2">
        <v>10</v>
      </c>
      <c r="G6131" s="2"/>
    </row>
    <row r="6132" spans="1:26" customHeight="1" ht="18" hidden="true" outlineLevel="3">
      <c r="A6132" s="2" t="s">
        <v>11589</v>
      </c>
      <c r="B6132" s="3" t="s">
        <v>11590</v>
      </c>
      <c r="C6132" s="2"/>
      <c r="D6132" s="2" t="s">
        <v>16</v>
      </c>
      <c r="E6132" s="4">
        <f>149.63*(1-Z1%)</f>
        <v>149.63</v>
      </c>
      <c r="F6132" s="2">
        <v>6</v>
      </c>
      <c r="G6132" s="2"/>
    </row>
    <row r="6133" spans="1:26" customHeight="1" ht="18" hidden="true" outlineLevel="3">
      <c r="A6133" s="2" t="s">
        <v>11591</v>
      </c>
      <c r="B6133" s="3" t="s">
        <v>11592</v>
      </c>
      <c r="C6133" s="2"/>
      <c r="D6133" s="2" t="s">
        <v>16</v>
      </c>
      <c r="E6133" s="4">
        <f>187.77*(1-Z1%)</f>
        <v>187.77</v>
      </c>
      <c r="F6133" s="2">
        <v>9</v>
      </c>
      <c r="G6133" s="2"/>
    </row>
    <row r="6134" spans="1:26" customHeight="1" ht="18" hidden="true" outlineLevel="3">
      <c r="A6134" s="2" t="s">
        <v>11593</v>
      </c>
      <c r="B6134" s="3" t="s">
        <v>11594</v>
      </c>
      <c r="C6134" s="2"/>
      <c r="D6134" s="2" t="s">
        <v>16</v>
      </c>
      <c r="E6134" s="4">
        <f>154.69*(1-Z1%)</f>
        <v>154.69</v>
      </c>
      <c r="F6134" s="2">
        <v>2</v>
      </c>
      <c r="G6134" s="2"/>
    </row>
    <row r="6135" spans="1:26" customHeight="1" ht="18" hidden="true" outlineLevel="3">
      <c r="A6135" s="2" t="s">
        <v>11595</v>
      </c>
      <c r="B6135" s="3" t="s">
        <v>11596</v>
      </c>
      <c r="C6135" s="2"/>
      <c r="D6135" s="2" t="s">
        <v>16</v>
      </c>
      <c r="E6135" s="4">
        <f>249.89*(1-Z1%)</f>
        <v>249.89</v>
      </c>
      <c r="F6135" s="2">
        <v>7</v>
      </c>
      <c r="G6135" s="2"/>
    </row>
    <row r="6136" spans="1:26" customHeight="1" ht="18" hidden="true" outlineLevel="3">
      <c r="A6136" s="2" t="s">
        <v>11597</v>
      </c>
      <c r="B6136" s="3" t="s">
        <v>11598</v>
      </c>
      <c r="C6136" s="2"/>
      <c r="D6136" s="2" t="s">
        <v>16</v>
      </c>
      <c r="E6136" s="4">
        <f>343.69*(1-Z1%)</f>
        <v>343.69</v>
      </c>
      <c r="F6136" s="2">
        <v>4</v>
      </c>
      <c r="G6136" s="2"/>
    </row>
    <row r="6137" spans="1:26" customHeight="1" ht="18" hidden="true" outlineLevel="3">
      <c r="A6137" s="2" t="s">
        <v>11599</v>
      </c>
      <c r="B6137" s="3" t="s">
        <v>11600</v>
      </c>
      <c r="C6137" s="2"/>
      <c r="D6137" s="2" t="s">
        <v>16</v>
      </c>
      <c r="E6137" s="4">
        <f>76.84*(1-Z1%)</f>
        <v>76.84</v>
      </c>
      <c r="F6137" s="2">
        <v>5</v>
      </c>
      <c r="G6137" s="2"/>
    </row>
    <row r="6138" spans="1:26" customHeight="1" ht="18" hidden="true" outlineLevel="3">
      <c r="A6138" s="2" t="s">
        <v>11601</v>
      </c>
      <c r="B6138" s="3" t="s">
        <v>11602</v>
      </c>
      <c r="C6138" s="2"/>
      <c r="D6138" s="2" t="s">
        <v>16</v>
      </c>
      <c r="E6138" s="4">
        <f>15.03*(1-Z1%)</f>
        <v>15.03</v>
      </c>
      <c r="F6138" s="2">
        <v>65</v>
      </c>
      <c r="G6138" s="2"/>
    </row>
    <row r="6139" spans="1:26" customHeight="1" ht="18" hidden="true" outlineLevel="3">
      <c r="A6139" s="2" t="s">
        <v>11603</v>
      </c>
      <c r="B6139" s="3" t="s">
        <v>11604</v>
      </c>
      <c r="C6139" s="2"/>
      <c r="D6139" s="2" t="s">
        <v>16</v>
      </c>
      <c r="E6139" s="4">
        <f>33.80*(1-Z1%)</f>
        <v>33.8</v>
      </c>
      <c r="F6139" s="2">
        <v>41</v>
      </c>
      <c r="G6139" s="2"/>
    </row>
    <row r="6140" spans="1:26" customHeight="1" ht="18" hidden="true" outlineLevel="3">
      <c r="A6140" s="2" t="s">
        <v>11605</v>
      </c>
      <c r="B6140" s="3" t="s">
        <v>11606</v>
      </c>
      <c r="C6140" s="2"/>
      <c r="D6140" s="2" t="s">
        <v>16</v>
      </c>
      <c r="E6140" s="4">
        <f>157.17*(1-Z1%)</f>
        <v>157.17</v>
      </c>
      <c r="F6140" s="2">
        <v>1</v>
      </c>
      <c r="G6140" s="2"/>
    </row>
    <row r="6141" spans="1:26" customHeight="1" ht="18" hidden="true" outlineLevel="3">
      <c r="A6141" s="2" t="s">
        <v>11607</v>
      </c>
      <c r="B6141" s="3" t="s">
        <v>11608</v>
      </c>
      <c r="C6141" s="2"/>
      <c r="D6141" s="2" t="s">
        <v>16</v>
      </c>
      <c r="E6141" s="4">
        <f>30.94*(1-Z1%)</f>
        <v>30.94</v>
      </c>
      <c r="F6141" s="2">
        <v>27</v>
      </c>
      <c r="G6141" s="2"/>
    </row>
    <row r="6142" spans="1:26" customHeight="1" ht="18" hidden="true" outlineLevel="3">
      <c r="A6142" s="2" t="s">
        <v>11609</v>
      </c>
      <c r="B6142" s="3" t="s">
        <v>11610</v>
      </c>
      <c r="C6142" s="2"/>
      <c r="D6142" s="2" t="s">
        <v>16</v>
      </c>
      <c r="E6142" s="4">
        <f>40.62*(1-Z1%)</f>
        <v>40.62</v>
      </c>
      <c r="F6142" s="2">
        <v>5</v>
      </c>
      <c r="G6142" s="2"/>
    </row>
    <row r="6143" spans="1:26" customHeight="1" ht="18" hidden="true" outlineLevel="3">
      <c r="A6143" s="2" t="s">
        <v>11611</v>
      </c>
      <c r="B6143" s="3" t="s">
        <v>11612</v>
      </c>
      <c r="C6143" s="2"/>
      <c r="D6143" s="2" t="s">
        <v>16</v>
      </c>
      <c r="E6143" s="4">
        <f>110.22*(1-Z1%)</f>
        <v>110.22</v>
      </c>
      <c r="F6143" s="2">
        <v>19</v>
      </c>
      <c r="G6143" s="2"/>
    </row>
    <row r="6144" spans="1:26" customHeight="1" ht="18" hidden="true" outlineLevel="3">
      <c r="A6144" s="2" t="s">
        <v>11613</v>
      </c>
      <c r="B6144" s="3" t="s">
        <v>11614</v>
      </c>
      <c r="C6144" s="2"/>
      <c r="D6144" s="2" t="s">
        <v>16</v>
      </c>
      <c r="E6144" s="4">
        <f>147.88*(1-Z1%)</f>
        <v>147.88</v>
      </c>
      <c r="F6144" s="2">
        <v>1</v>
      </c>
      <c r="G6144" s="2"/>
    </row>
    <row r="6145" spans="1:26" customHeight="1" ht="18" hidden="true" outlineLevel="3">
      <c r="A6145" s="2" t="s">
        <v>11615</v>
      </c>
      <c r="B6145" s="3" t="s">
        <v>11616</v>
      </c>
      <c r="C6145" s="2"/>
      <c r="D6145" s="2" t="s">
        <v>16</v>
      </c>
      <c r="E6145" s="4">
        <f>165.14*(1-Z1%)</f>
        <v>165.14</v>
      </c>
      <c r="F6145" s="2">
        <v>2</v>
      </c>
      <c r="G6145" s="2"/>
    </row>
    <row r="6146" spans="1:26" customHeight="1" ht="18" hidden="true" outlineLevel="3">
      <c r="A6146" s="2" t="s">
        <v>11617</v>
      </c>
      <c r="B6146" s="3" t="s">
        <v>11618</v>
      </c>
      <c r="C6146" s="2"/>
      <c r="D6146" s="2" t="s">
        <v>16</v>
      </c>
      <c r="E6146" s="4">
        <f>221.17*(1-Z1%)</f>
        <v>221.17</v>
      </c>
      <c r="F6146" s="2">
        <v>2</v>
      </c>
      <c r="G6146" s="2"/>
    </row>
    <row r="6147" spans="1:26" customHeight="1" ht="36" hidden="true" outlineLevel="3">
      <c r="A6147" s="2" t="s">
        <v>11619</v>
      </c>
      <c r="B6147" s="3" t="s">
        <v>11620</v>
      </c>
      <c r="C6147" s="2"/>
      <c r="D6147" s="2" t="s">
        <v>16</v>
      </c>
      <c r="E6147" s="4">
        <f>49.22*(1-Z1%)</f>
        <v>49.22</v>
      </c>
      <c r="F6147" s="2">
        <v>2</v>
      </c>
      <c r="G6147" s="2"/>
    </row>
    <row r="6148" spans="1:26" customHeight="1" ht="36" hidden="true" outlineLevel="3">
      <c r="A6148" s="2" t="s">
        <v>11621</v>
      </c>
      <c r="B6148" s="3" t="s">
        <v>11622</v>
      </c>
      <c r="C6148" s="2"/>
      <c r="D6148" s="2" t="s">
        <v>16</v>
      </c>
      <c r="E6148" s="4">
        <f>63.28*(1-Z1%)</f>
        <v>63.28</v>
      </c>
      <c r="F6148" s="2">
        <v>3</v>
      </c>
      <c r="G6148" s="2"/>
    </row>
    <row r="6149" spans="1:26" customHeight="1" ht="36" hidden="true" outlineLevel="3">
      <c r="A6149" s="2" t="s">
        <v>11623</v>
      </c>
      <c r="B6149" s="3" t="s">
        <v>11624</v>
      </c>
      <c r="C6149" s="2"/>
      <c r="D6149" s="2" t="s">
        <v>16</v>
      </c>
      <c r="E6149" s="4">
        <f>77.35*(1-Z1%)</f>
        <v>77.35</v>
      </c>
      <c r="F6149" s="2">
        <v>3</v>
      </c>
      <c r="G6149" s="2"/>
    </row>
    <row r="6150" spans="1:26" customHeight="1" ht="36" hidden="true" outlineLevel="3">
      <c r="A6150" s="2" t="s">
        <v>11625</v>
      </c>
      <c r="B6150" s="3" t="s">
        <v>11626</v>
      </c>
      <c r="C6150" s="2"/>
      <c r="D6150" s="2" t="s">
        <v>16</v>
      </c>
      <c r="E6150" s="4">
        <f>98.44*(1-Z1%)</f>
        <v>98.44</v>
      </c>
      <c r="F6150" s="2">
        <v>5</v>
      </c>
      <c r="G6150" s="2"/>
    </row>
    <row r="6151" spans="1:26" customHeight="1" ht="36" hidden="true" outlineLevel="3">
      <c r="A6151" s="2" t="s">
        <v>11627</v>
      </c>
      <c r="B6151" s="3" t="s">
        <v>11628</v>
      </c>
      <c r="C6151" s="2"/>
      <c r="D6151" s="2" t="s">
        <v>16</v>
      </c>
      <c r="E6151" s="4">
        <f>105.47*(1-Z1%)</f>
        <v>105.47</v>
      </c>
      <c r="F6151" s="2">
        <v>3</v>
      </c>
      <c r="G6151" s="2"/>
    </row>
    <row r="6152" spans="1:26" customHeight="1" ht="36" hidden="true" outlineLevel="3">
      <c r="A6152" s="2" t="s">
        <v>11629</v>
      </c>
      <c r="B6152" s="3" t="s">
        <v>11630</v>
      </c>
      <c r="C6152" s="2"/>
      <c r="D6152" s="2" t="s">
        <v>16</v>
      </c>
      <c r="E6152" s="4">
        <f>126.57*(1-Z1%)</f>
        <v>126.57</v>
      </c>
      <c r="F6152" s="2">
        <v>5</v>
      </c>
      <c r="G6152" s="2"/>
    </row>
    <row r="6153" spans="1:26" customHeight="1" ht="36" hidden="true" outlineLevel="3">
      <c r="A6153" s="2" t="s">
        <v>11631</v>
      </c>
      <c r="B6153" s="3" t="s">
        <v>11632</v>
      </c>
      <c r="C6153" s="2"/>
      <c r="D6153" s="2" t="s">
        <v>16</v>
      </c>
      <c r="E6153" s="4">
        <f>168.75*(1-Z1%)</f>
        <v>168.75</v>
      </c>
      <c r="F6153" s="2">
        <v>5</v>
      </c>
      <c r="G6153" s="2"/>
    </row>
    <row r="6154" spans="1:26" customHeight="1" ht="35" hidden="true" outlineLevel="3">
      <c r="A6154" s="5" t="s">
        <v>11633</v>
      </c>
      <c r="B6154" s="5"/>
      <c r="C6154" s="5"/>
      <c r="D6154" s="5"/>
      <c r="E6154" s="5"/>
      <c r="F6154" s="5"/>
      <c r="G6154" s="5"/>
    </row>
    <row r="6155" spans="1:26" customHeight="1" ht="18" hidden="true" outlineLevel="3">
      <c r="A6155" s="2" t="s">
        <v>11634</v>
      </c>
      <c r="B6155" s="3" t="s">
        <v>11635</v>
      </c>
      <c r="C6155" s="2"/>
      <c r="D6155" s="2" t="s">
        <v>16</v>
      </c>
      <c r="E6155" s="4">
        <f>283.33*(1-Z1%)</f>
        <v>283.33</v>
      </c>
      <c r="F6155" s="2">
        <v>2</v>
      </c>
      <c r="G6155" s="2"/>
    </row>
    <row r="6156" spans="1:26" customHeight="1" ht="18" hidden="true" outlineLevel="3">
      <c r="A6156" s="2" t="s">
        <v>11636</v>
      </c>
      <c r="B6156" s="3" t="s">
        <v>11637</v>
      </c>
      <c r="C6156" s="2"/>
      <c r="D6156" s="2" t="s">
        <v>16</v>
      </c>
      <c r="E6156" s="4">
        <f>159.89*(1-Z1%)</f>
        <v>159.89</v>
      </c>
      <c r="F6156" s="2">
        <v>2</v>
      </c>
      <c r="G6156" s="2"/>
    </row>
    <row r="6157" spans="1:26" customHeight="1" ht="18" hidden="true" outlineLevel="3">
      <c r="A6157" s="2" t="s">
        <v>11638</v>
      </c>
      <c r="B6157" s="3" t="s">
        <v>11639</v>
      </c>
      <c r="C6157" s="2"/>
      <c r="D6157" s="2" t="s">
        <v>16</v>
      </c>
      <c r="E6157" s="4">
        <f>51.98*(1-Z1%)</f>
        <v>51.98</v>
      </c>
      <c r="F6157" s="2">
        <v>5</v>
      </c>
      <c r="G6157" s="2"/>
    </row>
    <row r="6158" spans="1:26" customHeight="1" ht="18" hidden="true" outlineLevel="3">
      <c r="A6158" s="2" t="s">
        <v>11640</v>
      </c>
      <c r="B6158" s="3" t="s">
        <v>11641</v>
      </c>
      <c r="C6158" s="2"/>
      <c r="D6158" s="2" t="s">
        <v>16</v>
      </c>
      <c r="E6158" s="4">
        <f>120.49*(1-Z1%)</f>
        <v>120.49</v>
      </c>
      <c r="F6158" s="2">
        <v>1</v>
      </c>
      <c r="G6158" s="2"/>
    </row>
    <row r="6159" spans="1:26" customHeight="1" ht="18" hidden="true" outlineLevel="3">
      <c r="A6159" s="2" t="s">
        <v>11642</v>
      </c>
      <c r="B6159" s="3" t="s">
        <v>11643</v>
      </c>
      <c r="C6159" s="2"/>
      <c r="D6159" s="2" t="s">
        <v>16</v>
      </c>
      <c r="E6159" s="4">
        <f>152.59*(1-Z1%)</f>
        <v>152.59</v>
      </c>
      <c r="F6159" s="2">
        <v>5</v>
      </c>
      <c r="G6159" s="2"/>
    </row>
    <row r="6160" spans="1:26" customHeight="1" ht="36" hidden="true" outlineLevel="3">
      <c r="A6160" s="2" t="s">
        <v>11644</v>
      </c>
      <c r="B6160" s="3" t="s">
        <v>11645</v>
      </c>
      <c r="C6160" s="2"/>
      <c r="D6160" s="2" t="s">
        <v>16</v>
      </c>
      <c r="E6160" s="4">
        <f>312.10*(1-Z1%)</f>
        <v>312.1</v>
      </c>
      <c r="F6160" s="2">
        <v>3</v>
      </c>
      <c r="G6160" s="2"/>
    </row>
    <row r="6161" spans="1:26" customHeight="1" ht="36" hidden="true" outlineLevel="3">
      <c r="A6161" s="2" t="s">
        <v>11646</v>
      </c>
      <c r="B6161" s="3" t="s">
        <v>11647</v>
      </c>
      <c r="C6161" s="2"/>
      <c r="D6161" s="2" t="s">
        <v>16</v>
      </c>
      <c r="E6161" s="4">
        <f>156.05*(1-Z1%)</f>
        <v>156.05</v>
      </c>
      <c r="F6161" s="2">
        <v>1</v>
      </c>
      <c r="G6161" s="2"/>
    </row>
    <row r="6162" spans="1:26" customHeight="1" ht="18" hidden="true" outlineLevel="3">
      <c r="A6162" s="2" t="s">
        <v>11648</v>
      </c>
      <c r="B6162" s="3" t="s">
        <v>11649</v>
      </c>
      <c r="C6162" s="2"/>
      <c r="D6162" s="2" t="s">
        <v>16</v>
      </c>
      <c r="E6162" s="4">
        <f>109.33*(1-Z1%)</f>
        <v>109.33</v>
      </c>
      <c r="F6162" s="2">
        <v>4</v>
      </c>
      <c r="G6162" s="2"/>
    </row>
    <row r="6163" spans="1:26" customHeight="1" ht="18" hidden="true" outlineLevel="3">
      <c r="A6163" s="2" t="s">
        <v>11650</v>
      </c>
      <c r="B6163" s="3" t="s">
        <v>11651</v>
      </c>
      <c r="C6163" s="2"/>
      <c r="D6163" s="2" t="s">
        <v>16</v>
      </c>
      <c r="E6163" s="4">
        <f>170.47*(1-Z1%)</f>
        <v>170.47</v>
      </c>
      <c r="F6163" s="2">
        <v>4</v>
      </c>
      <c r="G6163" s="2"/>
    </row>
    <row r="6164" spans="1:26" customHeight="1" ht="18" hidden="true" outlineLevel="3">
      <c r="A6164" s="2" t="s">
        <v>11652</v>
      </c>
      <c r="B6164" s="3" t="s">
        <v>11653</v>
      </c>
      <c r="C6164" s="2"/>
      <c r="D6164" s="2" t="s">
        <v>16</v>
      </c>
      <c r="E6164" s="4">
        <f>202.21*(1-Z1%)</f>
        <v>202.21</v>
      </c>
      <c r="F6164" s="2">
        <v>4</v>
      </c>
      <c r="G6164" s="2"/>
    </row>
    <row r="6165" spans="1:26" customHeight="1" ht="35" hidden="true" outlineLevel="3">
      <c r="A6165" s="5" t="s">
        <v>11654</v>
      </c>
      <c r="B6165" s="5"/>
      <c r="C6165" s="5"/>
      <c r="D6165" s="5"/>
      <c r="E6165" s="5"/>
      <c r="F6165" s="5"/>
      <c r="G6165" s="5"/>
    </row>
    <row r="6166" spans="1:26" customHeight="1" ht="18" hidden="true" outlineLevel="3">
      <c r="A6166" s="2" t="s">
        <v>11655</v>
      </c>
      <c r="B6166" s="3" t="s">
        <v>11656</v>
      </c>
      <c r="C6166" s="2"/>
      <c r="D6166" s="2" t="s">
        <v>16</v>
      </c>
      <c r="E6166" s="4">
        <f>259.81*(1-Z1%)</f>
        <v>259.81</v>
      </c>
      <c r="F6166" s="2">
        <v>143</v>
      </c>
      <c r="G6166" s="2"/>
    </row>
    <row r="6167" spans="1:26" customHeight="1" ht="18" hidden="true" outlineLevel="3">
      <c r="A6167" s="2" t="s">
        <v>11657</v>
      </c>
      <c r="B6167" s="3" t="s">
        <v>11658</v>
      </c>
      <c r="C6167" s="2"/>
      <c r="D6167" s="2" t="s">
        <v>16</v>
      </c>
      <c r="E6167" s="4">
        <f>102.28*(1-Z1%)</f>
        <v>102.28</v>
      </c>
      <c r="F6167" s="2">
        <v>2</v>
      </c>
      <c r="G6167" s="2"/>
    </row>
    <row r="6168" spans="1:26" customHeight="1" ht="35" hidden="true" outlineLevel="3">
      <c r="A6168" s="5" t="s">
        <v>11659</v>
      </c>
      <c r="B6168" s="5"/>
      <c r="C6168" s="5"/>
      <c r="D6168" s="5"/>
      <c r="E6168" s="5"/>
      <c r="F6168" s="5"/>
      <c r="G6168" s="5"/>
    </row>
    <row r="6169" spans="1:26" customHeight="1" ht="18" hidden="true" outlineLevel="3">
      <c r="A6169" s="2" t="s">
        <v>11660</v>
      </c>
      <c r="B6169" s="3" t="s">
        <v>11661</v>
      </c>
      <c r="C6169" s="2"/>
      <c r="D6169" s="2" t="s">
        <v>16</v>
      </c>
      <c r="E6169" s="4">
        <f>75.96*(1-Z1%)</f>
        <v>75.96</v>
      </c>
      <c r="F6169" s="2">
        <v>10</v>
      </c>
      <c r="G6169" s="2"/>
    </row>
    <row r="6170" spans="1:26" customHeight="1" ht="18" hidden="true" outlineLevel="3">
      <c r="A6170" s="2" t="s">
        <v>11662</v>
      </c>
      <c r="B6170" s="3" t="s">
        <v>11663</v>
      </c>
      <c r="C6170" s="2"/>
      <c r="D6170" s="2" t="s">
        <v>16</v>
      </c>
      <c r="E6170" s="4">
        <f>155.93*(1-Z1%)</f>
        <v>155.93</v>
      </c>
      <c r="F6170" s="2">
        <v>3</v>
      </c>
      <c r="G6170" s="2"/>
    </row>
    <row r="6171" spans="1:26" customHeight="1" ht="18" hidden="true" outlineLevel="3">
      <c r="A6171" s="2" t="s">
        <v>11664</v>
      </c>
      <c r="B6171" s="3" t="s">
        <v>11665</v>
      </c>
      <c r="C6171" s="2"/>
      <c r="D6171" s="2" t="s">
        <v>16</v>
      </c>
      <c r="E6171" s="4">
        <f>39.83*(1-Z1%)</f>
        <v>39.83</v>
      </c>
      <c r="F6171" s="2">
        <v>10</v>
      </c>
      <c r="G6171" s="2"/>
    </row>
    <row r="6172" spans="1:26" customHeight="1" ht="35" hidden="true" outlineLevel="3">
      <c r="A6172" s="5" t="s">
        <v>11666</v>
      </c>
      <c r="B6172" s="5"/>
      <c r="C6172" s="5"/>
      <c r="D6172" s="5"/>
      <c r="E6172" s="5"/>
      <c r="F6172" s="5"/>
      <c r="G6172" s="5"/>
    </row>
    <row r="6173" spans="1:26" customHeight="1" ht="18" hidden="true" outlineLevel="3">
      <c r="A6173" s="2" t="s">
        <v>11667</v>
      </c>
      <c r="B6173" s="3" t="s">
        <v>11668</v>
      </c>
      <c r="C6173" s="2"/>
      <c r="D6173" s="2" t="s">
        <v>16</v>
      </c>
      <c r="E6173" s="4">
        <f>33.29*(1-Z1%)</f>
        <v>33.29</v>
      </c>
      <c r="F6173" s="2">
        <v>94</v>
      </c>
      <c r="G6173" s="2"/>
    </row>
    <row r="6174" spans="1:26" customHeight="1" ht="18" hidden="true" outlineLevel="3">
      <c r="A6174" s="2" t="s">
        <v>11669</v>
      </c>
      <c r="B6174" s="3" t="s">
        <v>11670</v>
      </c>
      <c r="C6174" s="2"/>
      <c r="D6174" s="2" t="s">
        <v>16</v>
      </c>
      <c r="E6174" s="4">
        <f>14.73*(1-Z1%)</f>
        <v>14.73</v>
      </c>
      <c r="F6174" s="2">
        <v>96</v>
      </c>
      <c r="G6174" s="2"/>
    </row>
    <row r="6175" spans="1:26" customHeight="1" ht="18" hidden="true" outlineLevel="3">
      <c r="A6175" s="2" t="s">
        <v>11671</v>
      </c>
      <c r="B6175" s="3" t="s">
        <v>11672</v>
      </c>
      <c r="C6175" s="2"/>
      <c r="D6175" s="2" t="s">
        <v>16</v>
      </c>
      <c r="E6175" s="4">
        <f>63.74*(1-Z1%)</f>
        <v>63.74</v>
      </c>
      <c r="F6175" s="2">
        <v>4</v>
      </c>
      <c r="G6175" s="2"/>
    </row>
    <row r="6176" spans="1:26" customHeight="1" ht="18" hidden="true" outlineLevel="3">
      <c r="A6176" s="2" t="s">
        <v>11673</v>
      </c>
      <c r="B6176" s="3" t="s">
        <v>11674</v>
      </c>
      <c r="C6176" s="2"/>
      <c r="D6176" s="2" t="s">
        <v>16</v>
      </c>
      <c r="E6176" s="4">
        <f>36.44*(1-Z1%)</f>
        <v>36.44</v>
      </c>
      <c r="F6176" s="2">
        <v>3</v>
      </c>
      <c r="G6176" s="2"/>
    </row>
    <row r="6177" spans="1:26" customHeight="1" ht="35" hidden="true" outlineLevel="2">
      <c r="A6177" s="5" t="s">
        <v>11675</v>
      </c>
      <c r="B6177" s="5"/>
      <c r="C6177" s="5"/>
      <c r="D6177" s="5"/>
      <c r="E6177" s="5"/>
      <c r="F6177" s="5"/>
      <c r="G6177" s="5"/>
    </row>
    <row r="6178" spans="1:26" customHeight="1" ht="35" hidden="true" outlineLevel="3">
      <c r="A6178" s="5" t="s">
        <v>11676</v>
      </c>
      <c r="B6178" s="5"/>
      <c r="C6178" s="5"/>
      <c r="D6178" s="5"/>
      <c r="E6178" s="5"/>
      <c r="F6178" s="5"/>
      <c r="G6178" s="5"/>
    </row>
    <row r="6179" spans="1:26" customHeight="1" ht="36" hidden="true" outlineLevel="3">
      <c r="A6179" s="2" t="s">
        <v>11677</v>
      </c>
      <c r="B6179" s="3" t="s">
        <v>11678</v>
      </c>
      <c r="C6179" s="2"/>
      <c r="D6179" s="2" t="s">
        <v>16</v>
      </c>
      <c r="E6179" s="4">
        <f>257.61*(1-Z1%)</f>
        <v>257.61</v>
      </c>
      <c r="F6179" s="2">
        <v>5</v>
      </c>
      <c r="G6179" s="2"/>
    </row>
    <row r="6180" spans="1:26" customHeight="1" ht="35" hidden="true" outlineLevel="3">
      <c r="A6180" s="5" t="s">
        <v>11679</v>
      </c>
      <c r="B6180" s="5"/>
      <c r="C6180" s="5"/>
      <c r="D6180" s="5"/>
      <c r="E6180" s="5"/>
      <c r="F6180" s="5"/>
      <c r="G6180" s="5"/>
    </row>
    <row r="6181" spans="1:26" customHeight="1" ht="18" hidden="true" outlineLevel="3">
      <c r="A6181" s="2" t="s">
        <v>11680</v>
      </c>
      <c r="B6181" s="3" t="s">
        <v>11681</v>
      </c>
      <c r="C6181" s="2"/>
      <c r="D6181" s="2" t="s">
        <v>16</v>
      </c>
      <c r="E6181" s="4">
        <f>126.23*(1-Z1%)</f>
        <v>126.23</v>
      </c>
      <c r="F6181" s="2">
        <v>6</v>
      </c>
      <c r="G6181" s="2"/>
    </row>
    <row r="6182" spans="1:26" customHeight="1" ht="18" hidden="true" outlineLevel="3">
      <c r="A6182" s="2" t="s">
        <v>11682</v>
      </c>
      <c r="B6182" s="3" t="s">
        <v>11683</v>
      </c>
      <c r="C6182" s="2"/>
      <c r="D6182" s="2" t="s">
        <v>16</v>
      </c>
      <c r="E6182" s="4">
        <f>361.47*(1-Z1%)</f>
        <v>361.47</v>
      </c>
      <c r="F6182" s="2">
        <v>2</v>
      </c>
      <c r="G6182" s="2"/>
    </row>
    <row r="6183" spans="1:26" customHeight="1" ht="35" hidden="true" outlineLevel="3">
      <c r="A6183" s="5" t="s">
        <v>11684</v>
      </c>
      <c r="B6183" s="5"/>
      <c r="C6183" s="5"/>
      <c r="D6183" s="5"/>
      <c r="E6183" s="5"/>
      <c r="F6183" s="5"/>
      <c r="G6183" s="5"/>
    </row>
    <row r="6184" spans="1:26" customHeight="1" ht="36" hidden="true" outlineLevel="3">
      <c r="A6184" s="2" t="s">
        <v>11685</v>
      </c>
      <c r="B6184" s="3" t="s">
        <v>11686</v>
      </c>
      <c r="C6184" s="2"/>
      <c r="D6184" s="2" t="s">
        <v>16</v>
      </c>
      <c r="E6184" s="4">
        <f>155.59*(1-Z1%)</f>
        <v>155.59</v>
      </c>
      <c r="F6184" s="2">
        <v>3</v>
      </c>
      <c r="G6184" s="2"/>
    </row>
    <row r="6185" spans="1:26" customHeight="1" ht="36" hidden="true" outlineLevel="3">
      <c r="A6185" s="2" t="s">
        <v>11687</v>
      </c>
      <c r="B6185" s="3" t="s">
        <v>11688</v>
      </c>
      <c r="C6185" s="2"/>
      <c r="D6185" s="2" t="s">
        <v>16</v>
      </c>
      <c r="E6185" s="4">
        <f>176.18*(1-Z1%)</f>
        <v>176.18</v>
      </c>
      <c r="F6185" s="2">
        <v>1</v>
      </c>
      <c r="G6185" s="2"/>
    </row>
    <row r="6186" spans="1:26" customHeight="1" ht="36" hidden="true" outlineLevel="3">
      <c r="A6186" s="2" t="s">
        <v>11689</v>
      </c>
      <c r="B6186" s="3" t="s">
        <v>11690</v>
      </c>
      <c r="C6186" s="2"/>
      <c r="D6186" s="2" t="s">
        <v>16</v>
      </c>
      <c r="E6186" s="4">
        <f>146.42*(1-Z1%)</f>
        <v>146.42</v>
      </c>
      <c r="F6186" s="2">
        <v>3</v>
      </c>
      <c r="G6186" s="2"/>
    </row>
    <row r="6187" spans="1:26" customHeight="1" ht="18" hidden="true" outlineLevel="3">
      <c r="A6187" s="2" t="s">
        <v>11691</v>
      </c>
      <c r="B6187" s="3" t="s">
        <v>11692</v>
      </c>
      <c r="C6187" s="2"/>
      <c r="D6187" s="2" t="s">
        <v>16</v>
      </c>
      <c r="E6187" s="4">
        <f>217.35*(1-Z1%)</f>
        <v>217.35</v>
      </c>
      <c r="F6187" s="2">
        <v>1</v>
      </c>
      <c r="G6187" s="2"/>
    </row>
    <row r="6188" spans="1:26" customHeight="1" ht="35">
      <c r="A6188" s="1" t="s">
        <v>11693</v>
      </c>
      <c r="B6188" s="1"/>
      <c r="C6188" s="1"/>
      <c r="D6188" s="1"/>
      <c r="E6188" s="1"/>
      <c r="F6188" s="1"/>
      <c r="G6188" s="1"/>
    </row>
    <row r="6189" spans="1:26" customHeight="1" ht="35" hidden="true" outlineLevel="2">
      <c r="A6189" s="5" t="s">
        <v>11694</v>
      </c>
      <c r="B6189" s="5"/>
      <c r="C6189" s="5"/>
      <c r="D6189" s="5"/>
      <c r="E6189" s="5"/>
      <c r="F6189" s="5"/>
      <c r="G6189" s="5"/>
    </row>
    <row r="6190" spans="1:26" customHeight="1" ht="36" hidden="true" outlineLevel="2">
      <c r="A6190" s="2" t="s">
        <v>11695</v>
      </c>
      <c r="B6190" s="3" t="s">
        <v>11696</v>
      </c>
      <c r="C6190" s="2"/>
      <c r="D6190" s="2" t="s">
        <v>16</v>
      </c>
      <c r="E6190" s="4">
        <f>112.01*(1-Z1%)</f>
        <v>112.01</v>
      </c>
      <c r="F6190" s="2">
        <v>37</v>
      </c>
      <c r="G6190" s="2"/>
    </row>
    <row r="6191" spans="1:26" customHeight="1" ht="18" hidden="true" outlineLevel="2">
      <c r="A6191" s="2" t="s">
        <v>11697</v>
      </c>
      <c r="B6191" s="3" t="s">
        <v>11698</v>
      </c>
      <c r="C6191" s="2"/>
      <c r="D6191" s="2" t="s">
        <v>16</v>
      </c>
      <c r="E6191" s="4">
        <f>180.41*(1-Z1%)</f>
        <v>180.41</v>
      </c>
      <c r="F6191" s="2">
        <v>23</v>
      </c>
      <c r="G6191" s="2"/>
    </row>
    <row r="6192" spans="1:26" customHeight="1" ht="18" hidden="true" outlineLevel="2">
      <c r="A6192" s="2" t="s">
        <v>11699</v>
      </c>
      <c r="B6192" s="3" t="s">
        <v>11700</v>
      </c>
      <c r="C6192" s="2"/>
      <c r="D6192" s="2" t="s">
        <v>16</v>
      </c>
      <c r="E6192" s="4">
        <f>16.79*(1-Z1%)</f>
        <v>16.79</v>
      </c>
      <c r="F6192" s="2">
        <v>55</v>
      </c>
      <c r="G6192" s="2"/>
    </row>
    <row r="6193" spans="1:26" customHeight="1" ht="18" hidden="true" outlineLevel="2">
      <c r="A6193" s="2" t="s">
        <v>11701</v>
      </c>
      <c r="B6193" s="3" t="s">
        <v>11702</v>
      </c>
      <c r="C6193" s="2"/>
      <c r="D6193" s="2" t="s">
        <v>16</v>
      </c>
      <c r="E6193" s="4">
        <f>25.33*(1-Z1%)</f>
        <v>25.33</v>
      </c>
      <c r="F6193" s="2">
        <v>21</v>
      </c>
      <c r="G6193" s="2"/>
    </row>
    <row r="6194" spans="1:26" customHeight="1" ht="18" hidden="true" outlineLevel="2">
      <c r="A6194" s="2" t="s">
        <v>11703</v>
      </c>
      <c r="B6194" s="3" t="s">
        <v>11704</v>
      </c>
      <c r="C6194" s="2"/>
      <c r="D6194" s="2" t="s">
        <v>16</v>
      </c>
      <c r="E6194" s="4">
        <f>31.19*(1-Z1%)</f>
        <v>31.19</v>
      </c>
      <c r="F6194" s="2">
        <v>22</v>
      </c>
      <c r="G6194" s="2"/>
    </row>
    <row r="6195" spans="1:26" customHeight="1" ht="18" hidden="true" outlineLevel="2">
      <c r="A6195" s="2" t="s">
        <v>11705</v>
      </c>
      <c r="B6195" s="3" t="s">
        <v>11706</v>
      </c>
      <c r="C6195" s="2"/>
      <c r="D6195" s="2" t="s">
        <v>16</v>
      </c>
      <c r="E6195" s="4">
        <f>10.16*(1-Z1%)</f>
        <v>10.16</v>
      </c>
      <c r="F6195" s="2">
        <v>10</v>
      </c>
      <c r="G6195" s="2"/>
    </row>
    <row r="6196" spans="1:26" customHeight="1" ht="36" hidden="true" outlineLevel="2">
      <c r="A6196" s="2" t="s">
        <v>11707</v>
      </c>
      <c r="B6196" s="3" t="s">
        <v>11708</v>
      </c>
      <c r="C6196" s="2"/>
      <c r="D6196" s="2" t="s">
        <v>16</v>
      </c>
      <c r="E6196" s="4">
        <f>19.06*(1-Z1%)</f>
        <v>19.06</v>
      </c>
      <c r="F6196" s="2">
        <v>30</v>
      </c>
      <c r="G6196" s="2"/>
    </row>
    <row r="6197" spans="1:26" customHeight="1" ht="18" hidden="true" outlineLevel="2">
      <c r="A6197" s="2" t="s">
        <v>11709</v>
      </c>
      <c r="B6197" s="3" t="s">
        <v>11710</v>
      </c>
      <c r="C6197" s="2"/>
      <c r="D6197" s="2" t="s">
        <v>16</v>
      </c>
      <c r="E6197" s="4">
        <f>17.58*(1-Z1%)</f>
        <v>17.58</v>
      </c>
      <c r="F6197" s="2">
        <v>23</v>
      </c>
      <c r="G6197" s="2"/>
    </row>
    <row r="6198" spans="1:26" customHeight="1" ht="18" hidden="true" outlineLevel="2">
      <c r="A6198" s="2" t="s">
        <v>11711</v>
      </c>
      <c r="B6198" s="3" t="s">
        <v>11712</v>
      </c>
      <c r="C6198" s="2"/>
      <c r="D6198" s="2" t="s">
        <v>16</v>
      </c>
      <c r="E6198" s="4">
        <f>10.16*(1-Z1%)</f>
        <v>10.16</v>
      </c>
      <c r="F6198" s="2">
        <v>10</v>
      </c>
      <c r="G6198" s="2"/>
    </row>
    <row r="6199" spans="1:26" customHeight="1" ht="18" hidden="true" outlineLevel="2">
      <c r="A6199" s="2" t="s">
        <v>11713</v>
      </c>
      <c r="B6199" s="3" t="s">
        <v>11714</v>
      </c>
      <c r="C6199" s="2"/>
      <c r="D6199" s="2" t="s">
        <v>16</v>
      </c>
      <c r="E6199" s="4">
        <f>10.36*(1-Z1%)</f>
        <v>10.36</v>
      </c>
      <c r="F6199" s="2">
        <v>14</v>
      </c>
      <c r="G6199" s="2"/>
    </row>
    <row r="6200" spans="1:26" customHeight="1" ht="18" hidden="true" outlineLevel="2">
      <c r="A6200" s="2" t="s">
        <v>11715</v>
      </c>
      <c r="B6200" s="3" t="s">
        <v>11716</v>
      </c>
      <c r="C6200" s="2"/>
      <c r="D6200" s="2" t="s">
        <v>16</v>
      </c>
      <c r="E6200" s="4">
        <f>36.76*(1-Z1%)</f>
        <v>36.76</v>
      </c>
      <c r="F6200" s="2">
        <v>10</v>
      </c>
      <c r="G6200" s="2"/>
    </row>
    <row r="6201" spans="1:26" customHeight="1" ht="18" hidden="true" outlineLevel="2">
      <c r="A6201" s="2" t="s">
        <v>11717</v>
      </c>
      <c r="B6201" s="3" t="s">
        <v>11718</v>
      </c>
      <c r="C6201" s="2"/>
      <c r="D6201" s="2" t="s">
        <v>16</v>
      </c>
      <c r="E6201" s="4">
        <f>21.41*(1-Z1%)</f>
        <v>21.41</v>
      </c>
      <c r="F6201" s="2">
        <v>23</v>
      </c>
      <c r="G6201" s="2"/>
    </row>
    <row r="6202" spans="1:26" customHeight="1" ht="36" hidden="true" outlineLevel="2">
      <c r="A6202" s="2" t="s">
        <v>11719</v>
      </c>
      <c r="B6202" s="3" t="s">
        <v>11720</v>
      </c>
      <c r="C6202" s="2"/>
      <c r="D6202" s="2" t="s">
        <v>16</v>
      </c>
      <c r="E6202" s="4">
        <f>27.88*(1-Z1%)</f>
        <v>27.88</v>
      </c>
      <c r="F6202" s="2">
        <v>4</v>
      </c>
      <c r="G6202" s="2"/>
    </row>
    <row r="6203" spans="1:26" customHeight="1" ht="18" hidden="true" outlineLevel="2">
      <c r="A6203" s="2" t="s">
        <v>11721</v>
      </c>
      <c r="B6203" s="3" t="s">
        <v>11722</v>
      </c>
      <c r="C6203" s="2"/>
      <c r="D6203" s="2" t="s">
        <v>16</v>
      </c>
      <c r="E6203" s="4">
        <f>30.71*(1-Z1%)</f>
        <v>30.71</v>
      </c>
      <c r="F6203" s="2">
        <v>18</v>
      </c>
      <c r="G6203" s="2"/>
    </row>
    <row r="6204" spans="1:26" customHeight="1" ht="35" hidden="true" outlineLevel="2">
      <c r="A6204" s="5" t="s">
        <v>11723</v>
      </c>
      <c r="B6204" s="5"/>
      <c r="C6204" s="5"/>
      <c r="D6204" s="5"/>
      <c r="E6204" s="5"/>
      <c r="F6204" s="5"/>
      <c r="G6204" s="5"/>
    </row>
    <row r="6205" spans="1:26" customHeight="1" ht="36" hidden="true" outlineLevel="2">
      <c r="A6205" s="2" t="s">
        <v>11724</v>
      </c>
      <c r="B6205" s="3" t="s">
        <v>11725</v>
      </c>
      <c r="C6205" s="2"/>
      <c r="D6205" s="2" t="s">
        <v>16</v>
      </c>
      <c r="E6205" s="4">
        <f>144.66*(1-Z1%)</f>
        <v>144.66</v>
      </c>
      <c r="F6205" s="2">
        <v>3</v>
      </c>
      <c r="G6205" s="2"/>
    </row>
    <row r="6206" spans="1:26" customHeight="1" ht="36" hidden="true" outlineLevel="2">
      <c r="A6206" s="2" t="s">
        <v>11726</v>
      </c>
      <c r="B6206" s="3" t="s">
        <v>11727</v>
      </c>
      <c r="C6206" s="2"/>
      <c r="D6206" s="2" t="s">
        <v>16</v>
      </c>
      <c r="E6206" s="4">
        <f>75.83*(1-Z1%)</f>
        <v>75.83</v>
      </c>
      <c r="F6206" s="2">
        <v>4</v>
      </c>
      <c r="G6206" s="2"/>
    </row>
    <row r="6207" spans="1:26" customHeight="1" ht="36" hidden="true" outlineLevel="2">
      <c r="A6207" s="2" t="s">
        <v>11728</v>
      </c>
      <c r="B6207" s="3" t="s">
        <v>11729</v>
      </c>
      <c r="C6207" s="2"/>
      <c r="D6207" s="2" t="s">
        <v>16</v>
      </c>
      <c r="E6207" s="4">
        <f>76.74*(1-Z1%)</f>
        <v>76.74</v>
      </c>
      <c r="F6207" s="2">
        <v>3</v>
      </c>
      <c r="G6207" s="2"/>
    </row>
    <row r="6208" spans="1:26" customHeight="1" ht="36" hidden="true" outlineLevel="2">
      <c r="A6208" s="2" t="s">
        <v>11730</v>
      </c>
      <c r="B6208" s="3" t="s">
        <v>11731</v>
      </c>
      <c r="C6208" s="2"/>
      <c r="D6208" s="2" t="s">
        <v>16</v>
      </c>
      <c r="E6208" s="4">
        <f>34.90*(1-Z1%)</f>
        <v>34.9</v>
      </c>
      <c r="F6208" s="2">
        <v>3</v>
      </c>
      <c r="G6208" s="2"/>
    </row>
    <row r="6209" spans="1:26" customHeight="1" ht="36" hidden="true" outlineLevel="2">
      <c r="A6209" s="2" t="s">
        <v>11732</v>
      </c>
      <c r="B6209" s="3" t="s">
        <v>11733</v>
      </c>
      <c r="C6209" s="2"/>
      <c r="D6209" s="2" t="s">
        <v>16</v>
      </c>
      <c r="E6209" s="4">
        <f>178.45*(1-Z1%)</f>
        <v>178.45</v>
      </c>
      <c r="F6209" s="2">
        <v>5</v>
      </c>
      <c r="G6209" s="2"/>
    </row>
    <row r="6210" spans="1:26" customHeight="1" ht="36" hidden="true" outlineLevel="2">
      <c r="A6210" s="2" t="s">
        <v>11734</v>
      </c>
      <c r="B6210" s="3" t="s">
        <v>11735</v>
      </c>
      <c r="C6210" s="2"/>
      <c r="D6210" s="2" t="s">
        <v>16</v>
      </c>
      <c r="E6210" s="4">
        <f>100.49*(1-Z1%)</f>
        <v>100.49</v>
      </c>
      <c r="F6210" s="2">
        <v>3</v>
      </c>
      <c r="G6210" s="2"/>
    </row>
    <row r="6211" spans="1:26" customHeight="1" ht="18" hidden="true" outlineLevel="2">
      <c r="A6211" s="2" t="s">
        <v>11736</v>
      </c>
      <c r="B6211" s="3" t="s">
        <v>11737</v>
      </c>
      <c r="C6211" s="2"/>
      <c r="D6211" s="2" t="s">
        <v>16</v>
      </c>
      <c r="E6211" s="4">
        <f>49.27*(1-Z1%)</f>
        <v>49.27</v>
      </c>
      <c r="F6211" s="2">
        <v>10</v>
      </c>
      <c r="G6211" s="2"/>
    </row>
    <row r="6212" spans="1:26" customHeight="1" ht="36" hidden="true" outlineLevel="2">
      <c r="A6212" s="2" t="s">
        <v>11738</v>
      </c>
      <c r="B6212" s="3" t="s">
        <v>11739</v>
      </c>
      <c r="C6212" s="2"/>
      <c r="D6212" s="2" t="s">
        <v>16</v>
      </c>
      <c r="E6212" s="4">
        <f>174.40*(1-Z1%)</f>
        <v>174.4</v>
      </c>
      <c r="F6212" s="2">
        <v>5</v>
      </c>
      <c r="G6212" s="2"/>
    </row>
    <row r="6213" spans="1:26" customHeight="1" ht="36" hidden="true" outlineLevel="2">
      <c r="A6213" s="2" t="s">
        <v>11740</v>
      </c>
      <c r="B6213" s="3" t="s">
        <v>11741</v>
      </c>
      <c r="C6213" s="2"/>
      <c r="D6213" s="2" t="s">
        <v>16</v>
      </c>
      <c r="E6213" s="4">
        <f>90.75*(1-Z1%)</f>
        <v>90.75</v>
      </c>
      <c r="F6213" s="2">
        <v>5</v>
      </c>
      <c r="G6213" s="2"/>
    </row>
    <row r="6214" spans="1:26" customHeight="1" ht="36" hidden="true" outlineLevel="2">
      <c r="A6214" s="2" t="s">
        <v>11742</v>
      </c>
      <c r="B6214" s="3" t="s">
        <v>11743</v>
      </c>
      <c r="C6214" s="2"/>
      <c r="D6214" s="2" t="s">
        <v>16</v>
      </c>
      <c r="E6214" s="4">
        <f>109.69*(1-Z1%)</f>
        <v>109.69</v>
      </c>
      <c r="F6214" s="2">
        <v>2</v>
      </c>
      <c r="G6214" s="2"/>
    </row>
    <row r="6215" spans="1:26" customHeight="1" ht="18" hidden="true" outlineLevel="2">
      <c r="A6215" s="2" t="s">
        <v>11744</v>
      </c>
      <c r="B6215" s="3" t="s">
        <v>11745</v>
      </c>
      <c r="C6215" s="2"/>
      <c r="D6215" s="2" t="s">
        <v>16</v>
      </c>
      <c r="E6215" s="4">
        <f>36.63*(1-Z1%)</f>
        <v>36.63</v>
      </c>
      <c r="F6215" s="2">
        <v>19</v>
      </c>
      <c r="G6215" s="2"/>
    </row>
    <row r="6216" spans="1:26" customHeight="1" ht="36" hidden="true" outlineLevel="2">
      <c r="A6216" s="2" t="s">
        <v>11746</v>
      </c>
      <c r="B6216" s="3" t="s">
        <v>11747</v>
      </c>
      <c r="C6216" s="2"/>
      <c r="D6216" s="2" t="s">
        <v>16</v>
      </c>
      <c r="E6216" s="4">
        <f>86.26*(1-Z1%)</f>
        <v>86.26</v>
      </c>
      <c r="F6216" s="2">
        <v>9</v>
      </c>
      <c r="G6216" s="2"/>
    </row>
    <row r="6217" spans="1:26" customHeight="1" ht="36" hidden="true" outlineLevel="2">
      <c r="A6217" s="2" t="s">
        <v>11748</v>
      </c>
      <c r="B6217" s="3" t="s">
        <v>11749</v>
      </c>
      <c r="C6217" s="2"/>
      <c r="D6217" s="2" t="s">
        <v>16</v>
      </c>
      <c r="E6217" s="4">
        <f>205.52*(1-Z1%)</f>
        <v>205.52</v>
      </c>
      <c r="F6217" s="2">
        <v>3</v>
      </c>
      <c r="G6217" s="2"/>
    </row>
    <row r="6218" spans="1:26" customHeight="1" ht="36" hidden="true" outlineLevel="2">
      <c r="A6218" s="2" t="s">
        <v>11750</v>
      </c>
      <c r="B6218" s="3" t="s">
        <v>11751</v>
      </c>
      <c r="C6218" s="2"/>
      <c r="D6218" s="2" t="s">
        <v>16</v>
      </c>
      <c r="E6218" s="4">
        <f>132.71*(1-Z1%)</f>
        <v>132.71</v>
      </c>
      <c r="F6218" s="2">
        <v>2</v>
      </c>
      <c r="G6218" s="2"/>
    </row>
    <row r="6219" spans="1:26" customHeight="1" ht="36" hidden="true" outlineLevel="2">
      <c r="A6219" s="2" t="s">
        <v>11752</v>
      </c>
      <c r="B6219" s="3" t="s">
        <v>11753</v>
      </c>
      <c r="C6219" s="2"/>
      <c r="D6219" s="2" t="s">
        <v>16</v>
      </c>
      <c r="E6219" s="4">
        <f>207.65*(1-Z1%)</f>
        <v>207.65</v>
      </c>
      <c r="F6219" s="2">
        <v>4</v>
      </c>
      <c r="G6219" s="2"/>
    </row>
    <row r="6220" spans="1:26" customHeight="1" ht="36" hidden="true" outlineLevel="2">
      <c r="A6220" s="2" t="s">
        <v>11754</v>
      </c>
      <c r="B6220" s="3" t="s">
        <v>11755</v>
      </c>
      <c r="C6220" s="2"/>
      <c r="D6220" s="2" t="s">
        <v>16</v>
      </c>
      <c r="E6220" s="4">
        <f>231.38*(1-Z1%)</f>
        <v>231.38</v>
      </c>
      <c r="F6220" s="2">
        <v>2</v>
      </c>
      <c r="G6220" s="2"/>
    </row>
    <row r="6221" spans="1:26" customHeight="1" ht="18" hidden="true" outlineLevel="2">
      <c r="A6221" s="2" t="s">
        <v>11756</v>
      </c>
      <c r="B6221" s="3" t="s">
        <v>11757</v>
      </c>
      <c r="C6221" s="2"/>
      <c r="D6221" s="2" t="s">
        <v>16</v>
      </c>
      <c r="E6221" s="4">
        <f>38.28*(1-Z1%)</f>
        <v>38.28</v>
      </c>
      <c r="F6221" s="2">
        <v>6</v>
      </c>
      <c r="G6221" s="2"/>
    </row>
    <row r="6222" spans="1:26" customHeight="1" ht="36" hidden="true" outlineLevel="2">
      <c r="A6222" s="2" t="s">
        <v>11758</v>
      </c>
      <c r="B6222" s="3" t="s">
        <v>11759</v>
      </c>
      <c r="C6222" s="2"/>
      <c r="D6222" s="2" t="s">
        <v>16</v>
      </c>
      <c r="E6222" s="4">
        <f>224.52*(1-Z1%)</f>
        <v>224.52</v>
      </c>
      <c r="F6222" s="2">
        <v>2</v>
      </c>
      <c r="G6222" s="2"/>
    </row>
    <row r="6223" spans="1:26" customHeight="1" ht="36" hidden="true" outlineLevel="2">
      <c r="A6223" s="2" t="s">
        <v>11760</v>
      </c>
      <c r="B6223" s="3" t="s">
        <v>11761</v>
      </c>
      <c r="C6223" s="2"/>
      <c r="D6223" s="2" t="s">
        <v>16</v>
      </c>
      <c r="E6223" s="4">
        <f>153.58*(1-Z1%)</f>
        <v>153.58</v>
      </c>
      <c r="F6223" s="2">
        <v>5</v>
      </c>
      <c r="G6223" s="2"/>
    </row>
    <row r="6224" spans="1:26" customHeight="1" ht="36" hidden="true" outlineLevel="2">
      <c r="A6224" s="2" t="s">
        <v>11762</v>
      </c>
      <c r="B6224" s="3" t="s">
        <v>11763</v>
      </c>
      <c r="C6224" s="2"/>
      <c r="D6224" s="2" t="s">
        <v>16</v>
      </c>
      <c r="E6224" s="4">
        <f>231.30*(1-Z1%)</f>
        <v>231.3</v>
      </c>
      <c r="F6224" s="2">
        <v>5</v>
      </c>
      <c r="G6224" s="2"/>
    </row>
    <row r="6225" spans="1:26" customHeight="1" ht="36" hidden="true" outlineLevel="2">
      <c r="A6225" s="2" t="s">
        <v>11764</v>
      </c>
      <c r="B6225" s="3" t="s">
        <v>11765</v>
      </c>
      <c r="C6225" s="2"/>
      <c r="D6225" s="2" t="s">
        <v>16</v>
      </c>
      <c r="E6225" s="4">
        <f>385.61*(1-Z1%)</f>
        <v>385.61</v>
      </c>
      <c r="F6225" s="2">
        <v>5</v>
      </c>
      <c r="G6225" s="2"/>
    </row>
    <row r="6226" spans="1:26" customHeight="1" ht="35" hidden="true" outlineLevel="2">
      <c r="A6226" s="5" t="s">
        <v>11766</v>
      </c>
      <c r="B6226" s="5"/>
      <c r="C6226" s="5"/>
      <c r="D6226" s="5"/>
      <c r="E6226" s="5"/>
      <c r="F6226" s="5"/>
      <c r="G6226" s="5"/>
    </row>
    <row r="6227" spans="1:26" customHeight="1" ht="36" hidden="true" outlineLevel="2">
      <c r="A6227" s="2" t="s">
        <v>11767</v>
      </c>
      <c r="B6227" s="3" t="s">
        <v>11768</v>
      </c>
      <c r="C6227" s="2"/>
      <c r="D6227" s="2" t="s">
        <v>16</v>
      </c>
      <c r="E6227" s="4">
        <f>405.68*(1-Z1%)</f>
        <v>405.68</v>
      </c>
      <c r="F6227" s="2">
        <v>2</v>
      </c>
      <c r="G6227" s="2"/>
    </row>
    <row r="6228" spans="1:26" customHeight="1" ht="36" hidden="true" outlineLevel="2">
      <c r="A6228" s="2" t="s">
        <v>11769</v>
      </c>
      <c r="B6228" s="3" t="s">
        <v>11770</v>
      </c>
      <c r="C6228" s="2"/>
      <c r="D6228" s="2" t="s">
        <v>16</v>
      </c>
      <c r="E6228" s="4">
        <f>405.68*(1-Z1%)</f>
        <v>405.68</v>
      </c>
      <c r="F6228" s="2">
        <v>2</v>
      </c>
      <c r="G6228" s="2"/>
    </row>
    <row r="6229" spans="1:26" customHeight="1" ht="36" hidden="true" outlineLevel="2">
      <c r="A6229" s="2" t="s">
        <v>11771</v>
      </c>
      <c r="B6229" s="3" t="s">
        <v>11772</v>
      </c>
      <c r="C6229" s="2"/>
      <c r="D6229" s="2" t="s">
        <v>16</v>
      </c>
      <c r="E6229" s="4">
        <f>629.59*(1-Z1%)</f>
        <v>629.59</v>
      </c>
      <c r="F6229" s="2">
        <v>2</v>
      </c>
      <c r="G6229" s="2"/>
    </row>
    <row r="6230" spans="1:26" customHeight="1" ht="36" hidden="true" outlineLevel="2">
      <c r="A6230" s="2" t="s">
        <v>11773</v>
      </c>
      <c r="B6230" s="3" t="s">
        <v>11774</v>
      </c>
      <c r="C6230" s="2"/>
      <c r="D6230" s="2" t="s">
        <v>16</v>
      </c>
      <c r="E6230" s="4">
        <f>629.59*(1-Z1%)</f>
        <v>629.59</v>
      </c>
      <c r="F6230" s="2">
        <v>2</v>
      </c>
      <c r="G6230" s="2"/>
    </row>
    <row r="6231" spans="1:26" customHeight="1" ht="36" hidden="true" outlineLevel="2">
      <c r="A6231" s="2" t="s">
        <v>11775</v>
      </c>
      <c r="B6231" s="3" t="s">
        <v>11776</v>
      </c>
      <c r="C6231" s="2"/>
      <c r="D6231" s="2" t="s">
        <v>16</v>
      </c>
      <c r="E6231" s="4">
        <f>383.67*(1-Z1%)</f>
        <v>383.67</v>
      </c>
      <c r="F6231" s="2">
        <v>1</v>
      </c>
      <c r="G6231" s="2"/>
    </row>
    <row r="6232" spans="1:26" customHeight="1" ht="36" hidden="true" outlineLevel="2">
      <c r="A6232" s="2" t="s">
        <v>11777</v>
      </c>
      <c r="B6232" s="3" t="s">
        <v>11778</v>
      </c>
      <c r="C6232" s="2"/>
      <c r="D6232" s="2" t="s">
        <v>16</v>
      </c>
      <c r="E6232" s="4">
        <f>421.41*(1-Z1%)</f>
        <v>421.41</v>
      </c>
      <c r="F6232" s="2">
        <v>2</v>
      </c>
      <c r="G6232" s="2"/>
    </row>
    <row r="6233" spans="1:26" customHeight="1" ht="36" hidden="true" outlineLevel="2">
      <c r="A6233" s="2" t="s">
        <v>11779</v>
      </c>
      <c r="B6233" s="3" t="s">
        <v>11780</v>
      </c>
      <c r="C6233" s="2"/>
      <c r="D6233" s="2" t="s">
        <v>16</v>
      </c>
      <c r="E6233" s="4">
        <f>421.41*(1-Z1%)</f>
        <v>421.41</v>
      </c>
      <c r="F6233" s="2">
        <v>2</v>
      </c>
      <c r="G6233" s="2"/>
    </row>
    <row r="6234" spans="1:26" customHeight="1" ht="36" hidden="true" outlineLevel="2">
      <c r="A6234" s="2" t="s">
        <v>11781</v>
      </c>
      <c r="B6234" s="3" t="s">
        <v>11782</v>
      </c>
      <c r="C6234" s="2"/>
      <c r="D6234" s="2" t="s">
        <v>16</v>
      </c>
      <c r="E6234" s="4">
        <f>459.15*(1-Z1%)</f>
        <v>459.15</v>
      </c>
      <c r="F6234" s="2">
        <v>2</v>
      </c>
      <c r="G6234" s="2"/>
    </row>
    <row r="6235" spans="1:26" customHeight="1" ht="36" hidden="true" outlineLevel="2">
      <c r="A6235" s="2" t="s">
        <v>11783</v>
      </c>
      <c r="B6235" s="3" t="s">
        <v>11784</v>
      </c>
      <c r="C6235" s="2"/>
      <c r="D6235" s="2" t="s">
        <v>16</v>
      </c>
      <c r="E6235" s="4">
        <f>459.15*(1-Z1%)</f>
        <v>459.15</v>
      </c>
      <c r="F6235" s="2">
        <v>2</v>
      </c>
      <c r="G6235" s="2"/>
    </row>
    <row r="6236" spans="1:26" customHeight="1" ht="36" hidden="true" outlineLevel="2">
      <c r="A6236" s="2" t="s">
        <v>11785</v>
      </c>
      <c r="B6236" s="3" t="s">
        <v>11786</v>
      </c>
      <c r="C6236" s="2"/>
      <c r="D6236" s="2" t="s">
        <v>16</v>
      </c>
      <c r="E6236" s="4">
        <f>474.87*(1-Z1%)</f>
        <v>474.87</v>
      </c>
      <c r="F6236" s="2">
        <v>1</v>
      </c>
      <c r="G6236" s="2"/>
    </row>
    <row r="6237" spans="1:26" customHeight="1" ht="36" hidden="true" outlineLevel="2">
      <c r="A6237" s="2" t="s">
        <v>11787</v>
      </c>
      <c r="B6237" s="3" t="s">
        <v>11788</v>
      </c>
      <c r="C6237" s="2"/>
      <c r="D6237" s="2" t="s">
        <v>16</v>
      </c>
      <c r="E6237" s="4">
        <f>556.62*(1-Z1%)</f>
        <v>556.62</v>
      </c>
      <c r="F6237" s="2">
        <v>2</v>
      </c>
      <c r="G6237" s="2"/>
    </row>
    <row r="6238" spans="1:26" customHeight="1" ht="36" hidden="true" outlineLevel="2">
      <c r="A6238" s="2" t="s">
        <v>11789</v>
      </c>
      <c r="B6238" s="3" t="s">
        <v>11790</v>
      </c>
      <c r="C6238" s="2"/>
      <c r="D6238" s="2" t="s">
        <v>16</v>
      </c>
      <c r="E6238" s="4">
        <f>556.62*(1-Z1%)</f>
        <v>556.62</v>
      </c>
      <c r="F6238" s="2">
        <v>2</v>
      </c>
      <c r="G6238" s="2"/>
    </row>
    <row r="6239" spans="1:26" customHeight="1" ht="36" hidden="true" outlineLevel="2">
      <c r="A6239" s="2" t="s">
        <v>11791</v>
      </c>
      <c r="B6239" s="3" t="s">
        <v>11792</v>
      </c>
      <c r="C6239" s="2"/>
      <c r="D6239" s="2" t="s">
        <v>16</v>
      </c>
      <c r="E6239" s="4">
        <f>371.41*(1-Z1%)</f>
        <v>371.41</v>
      </c>
      <c r="F6239" s="2">
        <v>1</v>
      </c>
      <c r="G6239" s="2"/>
    </row>
    <row r="6240" spans="1:26" customHeight="1" ht="36" hidden="true" outlineLevel="2">
      <c r="A6240" s="2" t="s">
        <v>11793</v>
      </c>
      <c r="B6240" s="3" t="s">
        <v>11794</v>
      </c>
      <c r="C6240" s="2"/>
      <c r="D6240" s="2" t="s">
        <v>16</v>
      </c>
      <c r="E6240" s="4">
        <f>396.25*(1-Z1%)</f>
        <v>396.25</v>
      </c>
      <c r="F6240" s="2">
        <v>3</v>
      </c>
      <c r="G6240" s="2"/>
    </row>
    <row r="6241" spans="1:26" customHeight="1" ht="36" hidden="true" outlineLevel="2">
      <c r="A6241" s="2" t="s">
        <v>11795</v>
      </c>
      <c r="B6241" s="3" t="s">
        <v>11796</v>
      </c>
      <c r="C6241" s="2"/>
      <c r="D6241" s="2" t="s">
        <v>16</v>
      </c>
      <c r="E6241" s="4">
        <f>396.25*(1-Z1%)</f>
        <v>396.25</v>
      </c>
      <c r="F6241" s="2">
        <v>2</v>
      </c>
      <c r="G6241" s="2"/>
    </row>
    <row r="6242" spans="1:26" customHeight="1" ht="36" hidden="true" outlineLevel="2">
      <c r="A6242" s="2" t="s">
        <v>11797</v>
      </c>
      <c r="B6242" s="3" t="s">
        <v>11798</v>
      </c>
      <c r="C6242" s="2"/>
      <c r="D6242" s="2" t="s">
        <v>16</v>
      </c>
      <c r="E6242" s="4">
        <f>398.52*(1-Z1%)</f>
        <v>398.52</v>
      </c>
      <c r="F6242" s="2">
        <v>1</v>
      </c>
      <c r="G6242" s="2"/>
    </row>
    <row r="6243" spans="1:26" customHeight="1" ht="36" hidden="true" outlineLevel="2">
      <c r="A6243" s="2" t="s">
        <v>11799</v>
      </c>
      <c r="B6243" s="3" t="s">
        <v>11800</v>
      </c>
      <c r="C6243" s="2"/>
      <c r="D6243" s="2" t="s">
        <v>16</v>
      </c>
      <c r="E6243" s="4">
        <f>398.52*(1-Z1%)</f>
        <v>398.52</v>
      </c>
      <c r="F6243" s="2">
        <v>4</v>
      </c>
      <c r="G6243" s="2"/>
    </row>
    <row r="6244" spans="1:26" customHeight="1" ht="36" hidden="true" outlineLevel="2">
      <c r="A6244" s="2" t="s">
        <v>11801</v>
      </c>
      <c r="B6244" s="3" t="s">
        <v>11802</v>
      </c>
      <c r="C6244" s="2"/>
      <c r="D6244" s="2" t="s">
        <v>16</v>
      </c>
      <c r="E6244" s="4">
        <f>427.70*(1-Z1%)</f>
        <v>427.7</v>
      </c>
      <c r="F6244" s="2">
        <v>3</v>
      </c>
      <c r="G6244" s="2"/>
    </row>
    <row r="6245" spans="1:26" customHeight="1" ht="36" hidden="true" outlineLevel="2">
      <c r="A6245" s="2" t="s">
        <v>11803</v>
      </c>
      <c r="B6245" s="3" t="s">
        <v>11804</v>
      </c>
      <c r="C6245" s="2"/>
      <c r="D6245" s="2" t="s">
        <v>16</v>
      </c>
      <c r="E6245" s="4">
        <f>455.88*(1-Z1%)</f>
        <v>455.88</v>
      </c>
      <c r="F6245" s="2">
        <v>2</v>
      </c>
      <c r="G6245" s="2"/>
    </row>
    <row r="6246" spans="1:26" customHeight="1" ht="36" hidden="true" outlineLevel="2">
      <c r="A6246" s="2" t="s">
        <v>11805</v>
      </c>
      <c r="B6246" s="3" t="s">
        <v>11806</v>
      </c>
      <c r="C6246" s="2"/>
      <c r="D6246" s="2" t="s">
        <v>16</v>
      </c>
      <c r="E6246" s="4">
        <f>479.58*(1-Z1%)</f>
        <v>479.58</v>
      </c>
      <c r="F6246" s="2">
        <v>4</v>
      </c>
      <c r="G6246" s="2"/>
    </row>
    <row r="6247" spans="1:26" customHeight="1" ht="36" hidden="true" outlineLevel="2">
      <c r="A6247" s="2" t="s">
        <v>11807</v>
      </c>
      <c r="B6247" s="3" t="s">
        <v>11808</v>
      </c>
      <c r="C6247" s="2"/>
      <c r="D6247" s="2" t="s">
        <v>16</v>
      </c>
      <c r="E6247" s="4">
        <f>307.44*(1-Z1%)</f>
        <v>307.44</v>
      </c>
      <c r="F6247" s="2">
        <v>2</v>
      </c>
      <c r="G6247" s="2"/>
    </row>
    <row r="6248" spans="1:26" customHeight="1" ht="36" hidden="true" outlineLevel="2">
      <c r="A6248" s="2" t="s">
        <v>11809</v>
      </c>
      <c r="B6248" s="3" t="s">
        <v>11810</v>
      </c>
      <c r="C6248" s="2"/>
      <c r="D6248" s="2" t="s">
        <v>16</v>
      </c>
      <c r="E6248" s="4">
        <f>343.03*(1-Z1%)</f>
        <v>343.03</v>
      </c>
      <c r="F6248" s="2">
        <v>2</v>
      </c>
      <c r="G6248" s="2"/>
    </row>
    <row r="6249" spans="1:26" customHeight="1" ht="36" hidden="true" outlineLevel="2">
      <c r="A6249" s="2" t="s">
        <v>11811</v>
      </c>
      <c r="B6249" s="3" t="s">
        <v>11812</v>
      </c>
      <c r="C6249" s="2"/>
      <c r="D6249" s="2" t="s">
        <v>16</v>
      </c>
      <c r="E6249" s="4">
        <f>343.03*(1-Z1%)</f>
        <v>343.03</v>
      </c>
      <c r="F6249" s="2">
        <v>2</v>
      </c>
      <c r="G6249" s="2"/>
    </row>
    <row r="6250" spans="1:26" customHeight="1" ht="36" hidden="true" outlineLevel="2">
      <c r="A6250" s="2" t="s">
        <v>11813</v>
      </c>
      <c r="B6250" s="3" t="s">
        <v>11814</v>
      </c>
      <c r="C6250" s="2"/>
      <c r="D6250" s="2" t="s">
        <v>16</v>
      </c>
      <c r="E6250" s="4">
        <f>393.99*(1-Z1%)</f>
        <v>393.99</v>
      </c>
      <c r="F6250" s="2">
        <v>1</v>
      </c>
      <c r="G6250" s="2"/>
    </row>
    <row r="6251" spans="1:26" customHeight="1" ht="36" hidden="true" outlineLevel="2">
      <c r="A6251" s="2" t="s">
        <v>11815</v>
      </c>
      <c r="B6251" s="3" t="s">
        <v>11816</v>
      </c>
      <c r="C6251" s="2"/>
      <c r="D6251" s="2" t="s">
        <v>16</v>
      </c>
      <c r="E6251" s="4">
        <f>393.99*(1-Z1%)</f>
        <v>393.99</v>
      </c>
      <c r="F6251" s="2">
        <v>2</v>
      </c>
      <c r="G6251" s="2"/>
    </row>
    <row r="6252" spans="1:26" customHeight="1" ht="18" hidden="true" outlineLevel="2">
      <c r="A6252" s="2" t="s">
        <v>11817</v>
      </c>
      <c r="B6252" s="3" t="s">
        <v>11818</v>
      </c>
      <c r="C6252" s="2"/>
      <c r="D6252" s="2" t="s">
        <v>16</v>
      </c>
      <c r="E6252" s="4">
        <f>505.58*(1-Z1%)</f>
        <v>505.58</v>
      </c>
      <c r="F6252" s="2">
        <v>4</v>
      </c>
      <c r="G6252" s="2"/>
    </row>
    <row r="6253" spans="1:26" customHeight="1" ht="18" hidden="true" outlineLevel="2">
      <c r="A6253" s="2" t="s">
        <v>11819</v>
      </c>
      <c r="B6253" s="3" t="s">
        <v>11820</v>
      </c>
      <c r="C6253" s="2"/>
      <c r="D6253" s="2" t="s">
        <v>16</v>
      </c>
      <c r="E6253" s="4">
        <f>506.75*(1-Z1%)</f>
        <v>506.75</v>
      </c>
      <c r="F6253" s="2">
        <v>3</v>
      </c>
      <c r="G6253" s="2"/>
    </row>
    <row r="6254" spans="1:26" customHeight="1" ht="18" hidden="true" outlineLevel="2">
      <c r="A6254" s="2" t="s">
        <v>11821</v>
      </c>
      <c r="B6254" s="3" t="s">
        <v>11822</v>
      </c>
      <c r="C6254" s="2"/>
      <c r="D6254" s="2" t="s">
        <v>16</v>
      </c>
      <c r="E6254" s="4">
        <f>537.47*(1-Z1%)</f>
        <v>537.47</v>
      </c>
      <c r="F6254" s="2">
        <v>5</v>
      </c>
      <c r="G6254" s="2"/>
    </row>
    <row r="6255" spans="1:26" customHeight="1" ht="18" hidden="true" outlineLevel="2">
      <c r="A6255" s="2" t="s">
        <v>11823</v>
      </c>
      <c r="B6255" s="3" t="s">
        <v>11824</v>
      </c>
      <c r="C6255" s="2"/>
      <c r="D6255" s="2" t="s">
        <v>16</v>
      </c>
      <c r="E6255" s="4">
        <f>557.55*(1-Z1%)</f>
        <v>557.55</v>
      </c>
      <c r="F6255" s="2">
        <v>5</v>
      </c>
      <c r="G6255" s="2"/>
    </row>
    <row r="6256" spans="1:26" customHeight="1" ht="18" hidden="true" outlineLevel="2">
      <c r="A6256" s="2" t="s">
        <v>11825</v>
      </c>
      <c r="B6256" s="3" t="s">
        <v>11826</v>
      </c>
      <c r="C6256" s="2"/>
      <c r="D6256" s="2" t="s">
        <v>16</v>
      </c>
      <c r="E6256" s="4">
        <f>559.92*(1-Z1%)</f>
        <v>559.92</v>
      </c>
      <c r="F6256" s="2">
        <v>3</v>
      </c>
      <c r="G6256" s="2"/>
    </row>
    <row r="6257" spans="1:26" customHeight="1" ht="18" hidden="true" outlineLevel="2">
      <c r="A6257" s="2" t="s">
        <v>11827</v>
      </c>
      <c r="B6257" s="3" t="s">
        <v>11828</v>
      </c>
      <c r="C6257" s="2"/>
      <c r="D6257" s="2" t="s">
        <v>16</v>
      </c>
      <c r="E6257" s="4">
        <f>589.45*(1-Z1%)</f>
        <v>589.45</v>
      </c>
      <c r="F6257" s="2">
        <v>6</v>
      </c>
      <c r="G6257" s="2"/>
    </row>
    <row r="6258" spans="1:26" customHeight="1" ht="18" hidden="true" outlineLevel="2">
      <c r="A6258" s="2" t="s">
        <v>11829</v>
      </c>
      <c r="B6258" s="3" t="s">
        <v>11830</v>
      </c>
      <c r="C6258" s="2"/>
      <c r="D6258" s="2" t="s">
        <v>16</v>
      </c>
      <c r="E6258" s="4">
        <f>653.23*(1-Z1%)</f>
        <v>653.23</v>
      </c>
      <c r="F6258" s="2">
        <v>5</v>
      </c>
      <c r="G6258" s="2"/>
    </row>
    <row r="6259" spans="1:26" customHeight="1" ht="18" hidden="true" outlineLevel="2">
      <c r="A6259" s="2" t="s">
        <v>11831</v>
      </c>
      <c r="B6259" s="3" t="s">
        <v>11832</v>
      </c>
      <c r="C6259" s="2"/>
      <c r="D6259" s="2" t="s">
        <v>16</v>
      </c>
      <c r="E6259" s="4">
        <f>656.78*(1-Z1%)</f>
        <v>656.78</v>
      </c>
      <c r="F6259" s="2">
        <v>5</v>
      </c>
      <c r="G6259" s="2"/>
    </row>
    <row r="6260" spans="1:26" customHeight="1" ht="18" hidden="true" outlineLevel="2">
      <c r="A6260" s="2" t="s">
        <v>11833</v>
      </c>
      <c r="B6260" s="3" t="s">
        <v>11834</v>
      </c>
      <c r="C6260" s="2"/>
      <c r="D6260" s="2" t="s">
        <v>16</v>
      </c>
      <c r="E6260" s="4">
        <f>683.95*(1-Z1%)</f>
        <v>683.95</v>
      </c>
      <c r="F6260" s="2">
        <v>5</v>
      </c>
      <c r="G6260" s="2"/>
    </row>
    <row r="6261" spans="1:26" customHeight="1" ht="18" hidden="true" outlineLevel="2">
      <c r="A6261" s="2" t="s">
        <v>11835</v>
      </c>
      <c r="B6261" s="3" t="s">
        <v>11836</v>
      </c>
      <c r="C6261" s="2"/>
      <c r="D6261" s="2" t="s">
        <v>16</v>
      </c>
      <c r="E6261" s="4">
        <f>884.75*(1-Z1%)</f>
        <v>884.75</v>
      </c>
      <c r="F6261" s="2">
        <v>3</v>
      </c>
      <c r="G6261" s="2"/>
    </row>
    <row r="6262" spans="1:26" customHeight="1" ht="18" hidden="true" outlineLevel="2">
      <c r="A6262" s="2" t="s">
        <v>11837</v>
      </c>
      <c r="B6262" s="3" t="s">
        <v>11838</v>
      </c>
      <c r="C6262" s="2"/>
      <c r="D6262" s="2" t="s">
        <v>16</v>
      </c>
      <c r="E6262" s="4">
        <f>617.80*(1-Z1%)</f>
        <v>617.8</v>
      </c>
      <c r="F6262" s="2">
        <v>1</v>
      </c>
      <c r="G6262" s="2"/>
    </row>
    <row r="6263" spans="1:26" customHeight="1" ht="18" hidden="true" outlineLevel="2">
      <c r="A6263" s="2" t="s">
        <v>11839</v>
      </c>
      <c r="B6263" s="3" t="s">
        <v>11840</v>
      </c>
      <c r="C6263" s="2"/>
      <c r="D6263" s="2" t="s">
        <v>16</v>
      </c>
      <c r="E6263" s="4">
        <f>662.68*(1-Z1%)</f>
        <v>662.68</v>
      </c>
      <c r="F6263" s="2">
        <v>4</v>
      </c>
      <c r="G6263" s="2"/>
    </row>
    <row r="6264" spans="1:26" customHeight="1" ht="18" hidden="true" outlineLevel="2">
      <c r="A6264" s="2" t="s">
        <v>11841</v>
      </c>
      <c r="B6264" s="3" t="s">
        <v>11842</v>
      </c>
      <c r="C6264" s="2"/>
      <c r="D6264" s="2" t="s">
        <v>16</v>
      </c>
      <c r="E6264" s="4">
        <f>694.24*(1-Z1%)</f>
        <v>694.24</v>
      </c>
      <c r="F6264" s="2">
        <v>4</v>
      </c>
      <c r="G6264" s="2"/>
    </row>
    <row r="6265" spans="1:26" customHeight="1" ht="18" hidden="true" outlineLevel="2">
      <c r="A6265" s="2" t="s">
        <v>11843</v>
      </c>
      <c r="B6265" s="3" t="s">
        <v>11844</v>
      </c>
      <c r="C6265" s="2"/>
      <c r="D6265" s="2" t="s">
        <v>16</v>
      </c>
      <c r="E6265" s="4">
        <f>672.13*(1-Z1%)</f>
        <v>672.13</v>
      </c>
      <c r="F6265" s="2">
        <v>4</v>
      </c>
      <c r="G6265" s="2"/>
    </row>
    <row r="6266" spans="1:26" customHeight="1" ht="18" hidden="true" outlineLevel="2">
      <c r="A6266" s="2" t="s">
        <v>11845</v>
      </c>
      <c r="B6266" s="3" t="s">
        <v>11846</v>
      </c>
      <c r="C6266" s="2"/>
      <c r="D6266" s="2" t="s">
        <v>16</v>
      </c>
      <c r="E6266" s="4">
        <f>730.02*(1-Z1%)</f>
        <v>730.02</v>
      </c>
      <c r="F6266" s="2">
        <v>5</v>
      </c>
      <c r="G6266" s="2"/>
    </row>
    <row r="6267" spans="1:26" customHeight="1" ht="18" hidden="true" outlineLevel="2">
      <c r="A6267" s="2" t="s">
        <v>11847</v>
      </c>
      <c r="B6267" s="3" t="s">
        <v>11848</v>
      </c>
      <c r="C6267" s="2"/>
      <c r="D6267" s="2" t="s">
        <v>16</v>
      </c>
      <c r="E6267" s="4">
        <f>730.02*(1-Z1%)</f>
        <v>730.02</v>
      </c>
      <c r="F6267" s="2">
        <v>2</v>
      </c>
      <c r="G6267" s="2"/>
    </row>
    <row r="6268" spans="1:26" customHeight="1" ht="18" hidden="true" outlineLevel="2">
      <c r="A6268" s="2" t="s">
        <v>11849</v>
      </c>
      <c r="B6268" s="3" t="s">
        <v>11850</v>
      </c>
      <c r="C6268" s="2"/>
      <c r="D6268" s="2" t="s">
        <v>16</v>
      </c>
      <c r="E6268" s="4">
        <f>767.82*(1-Z1%)</f>
        <v>767.82</v>
      </c>
      <c r="F6268" s="2">
        <v>3</v>
      </c>
      <c r="G6268" s="2"/>
    </row>
    <row r="6269" spans="1:26" customHeight="1" ht="18" hidden="true" outlineLevel="2">
      <c r="A6269" s="2" t="s">
        <v>11851</v>
      </c>
      <c r="B6269" s="3" t="s">
        <v>11852</v>
      </c>
      <c r="C6269" s="2"/>
      <c r="D6269" s="2" t="s">
        <v>16</v>
      </c>
      <c r="E6269" s="4">
        <f>852.87*(1-Z1%)</f>
        <v>852.87</v>
      </c>
      <c r="F6269" s="2">
        <v>3</v>
      </c>
      <c r="G6269" s="2"/>
    </row>
    <row r="6270" spans="1:26" customHeight="1" ht="36" hidden="true" outlineLevel="2">
      <c r="A6270" s="2" t="s">
        <v>11853</v>
      </c>
      <c r="B6270" s="3" t="s">
        <v>11854</v>
      </c>
      <c r="C6270" s="2"/>
      <c r="D6270" s="2" t="s">
        <v>16</v>
      </c>
      <c r="E6270" s="4">
        <f>399.50*(1-Z1%)</f>
        <v>399.5</v>
      </c>
      <c r="F6270" s="2">
        <v>9</v>
      </c>
      <c r="G6270" s="2"/>
    </row>
    <row r="6271" spans="1:26" customHeight="1" ht="36" hidden="true" outlineLevel="2">
      <c r="A6271" s="2" t="s">
        <v>11855</v>
      </c>
      <c r="B6271" s="3" t="s">
        <v>11856</v>
      </c>
      <c r="C6271" s="2"/>
      <c r="D6271" s="2" t="s">
        <v>16</v>
      </c>
      <c r="E6271" s="4">
        <f>399.50*(1-Z1%)</f>
        <v>399.5</v>
      </c>
      <c r="F6271" s="2">
        <v>3</v>
      </c>
      <c r="G6271" s="2"/>
    </row>
    <row r="6272" spans="1:26" customHeight="1" ht="36" hidden="true" outlineLevel="2">
      <c r="A6272" s="2" t="s">
        <v>11857</v>
      </c>
      <c r="B6272" s="3" t="s">
        <v>11858</v>
      </c>
      <c r="C6272" s="2"/>
      <c r="D6272" s="2" t="s">
        <v>16</v>
      </c>
      <c r="E6272" s="4">
        <f>473.98*(1-Z1%)</f>
        <v>473.98</v>
      </c>
      <c r="F6272" s="2">
        <v>9</v>
      </c>
      <c r="G6272" s="2"/>
    </row>
    <row r="6273" spans="1:26" customHeight="1" ht="36" hidden="true" outlineLevel="2">
      <c r="A6273" s="2" t="s">
        <v>11859</v>
      </c>
      <c r="B6273" s="3" t="s">
        <v>11860</v>
      </c>
      <c r="C6273" s="2"/>
      <c r="D6273" s="2" t="s">
        <v>16</v>
      </c>
      <c r="E6273" s="4">
        <f>473.98*(1-Z1%)</f>
        <v>473.98</v>
      </c>
      <c r="F6273" s="2">
        <v>10</v>
      </c>
      <c r="G6273" s="2"/>
    </row>
    <row r="6274" spans="1:26" customHeight="1" ht="36" hidden="true" outlineLevel="2">
      <c r="A6274" s="2" t="s">
        <v>11861</v>
      </c>
      <c r="B6274" s="3" t="s">
        <v>11862</v>
      </c>
      <c r="C6274" s="2"/>
      <c r="D6274" s="2" t="s">
        <v>16</v>
      </c>
      <c r="E6274" s="4">
        <f>347.40*(1-Z1%)</f>
        <v>347.4</v>
      </c>
      <c r="F6274" s="2">
        <v>5</v>
      </c>
      <c r="G6274" s="2"/>
    </row>
    <row r="6275" spans="1:26" customHeight="1" ht="36" hidden="true" outlineLevel="2">
      <c r="A6275" s="2" t="s">
        <v>11863</v>
      </c>
      <c r="B6275" s="3" t="s">
        <v>11864</v>
      </c>
      <c r="C6275" s="2"/>
      <c r="D6275" s="2" t="s">
        <v>16</v>
      </c>
      <c r="E6275" s="4">
        <f>411.87*(1-Z1%)</f>
        <v>411.87</v>
      </c>
      <c r="F6275" s="2">
        <v>4</v>
      </c>
      <c r="G6275" s="2"/>
    </row>
    <row r="6276" spans="1:26" customHeight="1" ht="36" hidden="true" outlineLevel="2">
      <c r="A6276" s="2" t="s">
        <v>11865</v>
      </c>
      <c r="B6276" s="3" t="s">
        <v>11866</v>
      </c>
      <c r="C6276" s="2"/>
      <c r="D6276" s="2" t="s">
        <v>16</v>
      </c>
      <c r="E6276" s="4">
        <f>411.87*(1-Z1%)</f>
        <v>411.87</v>
      </c>
      <c r="F6276" s="2">
        <v>2</v>
      </c>
      <c r="G6276" s="2"/>
    </row>
    <row r="6277" spans="1:26" customHeight="1" ht="36" hidden="true" outlineLevel="2">
      <c r="A6277" s="2" t="s">
        <v>11867</v>
      </c>
      <c r="B6277" s="3" t="s">
        <v>11868</v>
      </c>
      <c r="C6277" s="2"/>
      <c r="D6277" s="2" t="s">
        <v>16</v>
      </c>
      <c r="E6277" s="4">
        <f>532.67*(1-Z1%)</f>
        <v>532.67</v>
      </c>
      <c r="F6277" s="2">
        <v>6</v>
      </c>
      <c r="G6277" s="2"/>
    </row>
    <row r="6278" spans="1:26" customHeight="1" ht="36" hidden="true" outlineLevel="2">
      <c r="A6278" s="2" t="s">
        <v>11869</v>
      </c>
      <c r="B6278" s="3" t="s">
        <v>11870</v>
      </c>
      <c r="C6278" s="2"/>
      <c r="D6278" s="2" t="s">
        <v>16</v>
      </c>
      <c r="E6278" s="4">
        <f>532.67*(1-Z1%)</f>
        <v>532.67</v>
      </c>
      <c r="F6278" s="2">
        <v>2</v>
      </c>
      <c r="G6278" s="2"/>
    </row>
    <row r="6279" spans="1:26" customHeight="1" ht="36" hidden="true" outlineLevel="2">
      <c r="A6279" s="2" t="s">
        <v>11871</v>
      </c>
      <c r="B6279" s="3" t="s">
        <v>11872</v>
      </c>
      <c r="C6279" s="2"/>
      <c r="D6279" s="2" t="s">
        <v>16</v>
      </c>
      <c r="E6279" s="4">
        <f>700.71*(1-Z1%)</f>
        <v>700.71</v>
      </c>
      <c r="F6279" s="2">
        <v>1</v>
      </c>
      <c r="G6279" s="2"/>
    </row>
    <row r="6280" spans="1:26" customHeight="1" ht="35" hidden="true" outlineLevel="2">
      <c r="A6280" s="5" t="s">
        <v>11873</v>
      </c>
      <c r="B6280" s="5"/>
      <c r="C6280" s="5"/>
      <c r="D6280" s="5"/>
      <c r="E6280" s="5"/>
      <c r="F6280" s="5"/>
      <c r="G6280" s="5"/>
    </row>
    <row r="6281" spans="1:26" customHeight="1" ht="36" hidden="true" outlineLevel="2">
      <c r="A6281" s="2" t="s">
        <v>11874</v>
      </c>
      <c r="B6281" s="3" t="s">
        <v>11875</v>
      </c>
      <c r="C6281" s="2"/>
      <c r="D6281" s="2" t="s">
        <v>16</v>
      </c>
      <c r="E6281" s="4">
        <f>3027.64*(1-Z1%)</f>
        <v>3027.64</v>
      </c>
      <c r="F6281" s="2">
        <v>1</v>
      </c>
      <c r="G6281" s="2"/>
    </row>
    <row r="6282" spans="1:26" customHeight="1" ht="35" hidden="true" outlineLevel="2">
      <c r="A6282" s="5" t="s">
        <v>11876</v>
      </c>
      <c r="B6282" s="5"/>
      <c r="C6282" s="5"/>
      <c r="D6282" s="5"/>
      <c r="E6282" s="5"/>
      <c r="F6282" s="5"/>
      <c r="G6282" s="5"/>
    </row>
    <row r="6283" spans="1:26" customHeight="1" ht="18" hidden="true" outlineLevel="2">
      <c r="A6283" s="2" t="s">
        <v>11877</v>
      </c>
      <c r="B6283" s="3" t="s">
        <v>11878</v>
      </c>
      <c r="C6283" s="2"/>
      <c r="D6283" s="2" t="s">
        <v>16</v>
      </c>
      <c r="E6283" s="4">
        <f>76.98*(1-Z1%)</f>
        <v>76.98</v>
      </c>
      <c r="F6283" s="2">
        <v>11</v>
      </c>
      <c r="G6283" s="2"/>
    </row>
    <row r="6284" spans="1:26" customHeight="1" ht="18" hidden="true" outlineLevel="2">
      <c r="A6284" s="2" t="s">
        <v>11879</v>
      </c>
      <c r="B6284" s="3" t="s">
        <v>11880</v>
      </c>
      <c r="C6284" s="2"/>
      <c r="D6284" s="2" t="s">
        <v>16</v>
      </c>
      <c r="E6284" s="4">
        <f>80.57*(1-Z1%)</f>
        <v>80.57</v>
      </c>
      <c r="F6284" s="2">
        <v>3</v>
      </c>
      <c r="G6284" s="2"/>
    </row>
    <row r="6285" spans="1:26" customHeight="1" ht="18" hidden="true" outlineLevel="2">
      <c r="A6285" s="2" t="s">
        <v>11881</v>
      </c>
      <c r="B6285" s="3" t="s">
        <v>11882</v>
      </c>
      <c r="C6285" s="2"/>
      <c r="D6285" s="2" t="s">
        <v>16</v>
      </c>
      <c r="E6285" s="4">
        <f>76.98*(1-Z1%)</f>
        <v>76.98</v>
      </c>
      <c r="F6285" s="2">
        <v>13</v>
      </c>
      <c r="G6285" s="2"/>
    </row>
    <row r="6286" spans="1:26" customHeight="1" ht="18" hidden="true" outlineLevel="2">
      <c r="A6286" s="2" t="s">
        <v>11883</v>
      </c>
      <c r="B6286" s="3" t="s">
        <v>11884</v>
      </c>
      <c r="C6286" s="2"/>
      <c r="D6286" s="2" t="s">
        <v>16</v>
      </c>
      <c r="E6286" s="4">
        <f>97.77*(1-Z1%)</f>
        <v>97.77</v>
      </c>
      <c r="F6286" s="2">
        <v>7</v>
      </c>
      <c r="G6286" s="2"/>
    </row>
    <row r="6287" spans="1:26" customHeight="1" ht="36" hidden="true" outlineLevel="2">
      <c r="A6287" s="2" t="s">
        <v>11885</v>
      </c>
      <c r="B6287" s="3" t="s">
        <v>11886</v>
      </c>
      <c r="C6287" s="2"/>
      <c r="D6287" s="2" t="s">
        <v>16</v>
      </c>
      <c r="E6287" s="4">
        <f>102.47*(1-Z1%)</f>
        <v>102.47</v>
      </c>
      <c r="F6287" s="2">
        <v>7</v>
      </c>
      <c r="G6287" s="2"/>
    </row>
    <row r="6288" spans="1:26" customHeight="1" ht="18" hidden="true" outlineLevel="2">
      <c r="A6288" s="2" t="s">
        <v>11887</v>
      </c>
      <c r="B6288" s="3" t="s">
        <v>11888</v>
      </c>
      <c r="C6288" s="2"/>
      <c r="D6288" s="2" t="s">
        <v>16</v>
      </c>
      <c r="E6288" s="4">
        <f>97.89*(1-Z1%)</f>
        <v>97.89</v>
      </c>
      <c r="F6288" s="2">
        <v>15</v>
      </c>
      <c r="G6288" s="2"/>
    </row>
    <row r="6289" spans="1:26" customHeight="1" ht="18" hidden="true" outlineLevel="2">
      <c r="A6289" s="2" t="s">
        <v>11889</v>
      </c>
      <c r="B6289" s="3" t="s">
        <v>11890</v>
      </c>
      <c r="C6289" s="2"/>
      <c r="D6289" s="2" t="s">
        <v>16</v>
      </c>
      <c r="E6289" s="4">
        <f>89.06*(1-Z1%)</f>
        <v>89.06</v>
      </c>
      <c r="F6289" s="2">
        <v>12</v>
      </c>
      <c r="G6289" s="2"/>
    </row>
    <row r="6290" spans="1:26" customHeight="1" ht="36" hidden="true" outlineLevel="2">
      <c r="A6290" s="2" t="s">
        <v>11891</v>
      </c>
      <c r="B6290" s="3" t="s">
        <v>11892</v>
      </c>
      <c r="C6290" s="2"/>
      <c r="D6290" s="2" t="s">
        <v>16</v>
      </c>
      <c r="E6290" s="4">
        <f>96.62*(1-Z1%)</f>
        <v>96.62</v>
      </c>
      <c r="F6290" s="2">
        <v>12</v>
      </c>
      <c r="G6290" s="2"/>
    </row>
    <row r="6291" spans="1:26" customHeight="1" ht="18" hidden="true" outlineLevel="2">
      <c r="A6291" s="2" t="s">
        <v>11893</v>
      </c>
      <c r="B6291" s="3" t="s">
        <v>11894</v>
      </c>
      <c r="C6291" s="2"/>
      <c r="D6291" s="2" t="s">
        <v>16</v>
      </c>
      <c r="E6291" s="4">
        <f>93.31*(1-Z1%)</f>
        <v>93.31</v>
      </c>
      <c r="F6291" s="2">
        <v>19</v>
      </c>
      <c r="G6291" s="2"/>
    </row>
    <row r="6292" spans="1:26" customHeight="1" ht="18" hidden="true" outlineLevel="2">
      <c r="A6292" s="2" t="s">
        <v>11895</v>
      </c>
      <c r="B6292" s="3" t="s">
        <v>11896</v>
      </c>
      <c r="C6292" s="2"/>
      <c r="D6292" s="2" t="s">
        <v>16</v>
      </c>
      <c r="E6292" s="4">
        <f>123.92*(1-Z1%)</f>
        <v>123.92</v>
      </c>
      <c r="F6292" s="2">
        <v>13</v>
      </c>
      <c r="G6292" s="2"/>
    </row>
    <row r="6293" spans="1:26" customHeight="1" ht="18" hidden="true" outlineLevel="2">
      <c r="A6293" s="2" t="s">
        <v>11897</v>
      </c>
      <c r="B6293" s="3" t="s">
        <v>11898</v>
      </c>
      <c r="C6293" s="2"/>
      <c r="D6293" s="2" t="s">
        <v>16</v>
      </c>
      <c r="E6293" s="4">
        <f>123.92*(1-Z1%)</f>
        <v>123.92</v>
      </c>
      <c r="F6293" s="2">
        <v>7</v>
      </c>
      <c r="G6293" s="2"/>
    </row>
    <row r="6294" spans="1:26" customHeight="1" ht="18" hidden="true" outlineLevel="2">
      <c r="A6294" s="2" t="s">
        <v>11899</v>
      </c>
      <c r="B6294" s="3" t="s">
        <v>11900</v>
      </c>
      <c r="C6294" s="2"/>
      <c r="D6294" s="2" t="s">
        <v>16</v>
      </c>
      <c r="E6294" s="4">
        <f>58.17*(1-Z1%)</f>
        <v>58.17</v>
      </c>
      <c r="F6294" s="2">
        <v>20</v>
      </c>
      <c r="G6294" s="2"/>
    </row>
    <row r="6295" spans="1:26" customHeight="1" ht="36" hidden="true" outlineLevel="2">
      <c r="A6295" s="2" t="s">
        <v>11901</v>
      </c>
      <c r="B6295" s="3" t="s">
        <v>11902</v>
      </c>
      <c r="C6295" s="2"/>
      <c r="D6295" s="2" t="s">
        <v>16</v>
      </c>
      <c r="E6295" s="4">
        <f>66.21*(1-Z1%)</f>
        <v>66.21</v>
      </c>
      <c r="F6295" s="2">
        <v>17</v>
      </c>
      <c r="G6295" s="2"/>
    </row>
    <row r="6296" spans="1:26" customHeight="1" ht="18" hidden="true" outlineLevel="2">
      <c r="A6296" s="2" t="s">
        <v>11903</v>
      </c>
      <c r="B6296" s="3" t="s">
        <v>11904</v>
      </c>
      <c r="C6296" s="2"/>
      <c r="D6296" s="2" t="s">
        <v>16</v>
      </c>
      <c r="E6296" s="4">
        <f>58.64*(1-Z1%)</f>
        <v>58.64</v>
      </c>
      <c r="F6296" s="2">
        <v>21</v>
      </c>
      <c r="G6296" s="2"/>
    </row>
    <row r="6297" spans="1:26" customHeight="1" ht="36" hidden="true" outlineLevel="2">
      <c r="A6297" s="2" t="s">
        <v>11905</v>
      </c>
      <c r="B6297" s="3" t="s">
        <v>11906</v>
      </c>
      <c r="C6297" s="2"/>
      <c r="D6297" s="2" t="s">
        <v>16</v>
      </c>
      <c r="E6297" s="4">
        <f>66.21*(1-Z1%)</f>
        <v>66.21</v>
      </c>
      <c r="F6297" s="2">
        <v>32</v>
      </c>
      <c r="G6297" s="2"/>
    </row>
    <row r="6298" spans="1:26" customHeight="1" ht="18" hidden="true" outlineLevel="2">
      <c r="A6298" s="2" t="s">
        <v>11907</v>
      </c>
      <c r="B6298" s="3" t="s">
        <v>11908</v>
      </c>
      <c r="C6298" s="2"/>
      <c r="D6298" s="2" t="s">
        <v>16</v>
      </c>
      <c r="E6298" s="4">
        <f>76.91*(1-Z1%)</f>
        <v>76.91</v>
      </c>
      <c r="F6298" s="2">
        <v>20</v>
      </c>
      <c r="G6298" s="2"/>
    </row>
    <row r="6299" spans="1:26" customHeight="1" ht="18" hidden="true" outlineLevel="2">
      <c r="A6299" s="2" t="s">
        <v>11909</v>
      </c>
      <c r="B6299" s="3" t="s">
        <v>11910</v>
      </c>
      <c r="C6299" s="2"/>
      <c r="D6299" s="2" t="s">
        <v>16</v>
      </c>
      <c r="E6299" s="4">
        <f>80.57*(1-Z1%)</f>
        <v>80.57</v>
      </c>
      <c r="F6299" s="2">
        <v>15</v>
      </c>
      <c r="G6299" s="2"/>
    </row>
    <row r="6300" spans="1:26" customHeight="1" ht="36" hidden="true" outlineLevel="2">
      <c r="A6300" s="2" t="s">
        <v>11911</v>
      </c>
      <c r="B6300" s="3" t="s">
        <v>11912</v>
      </c>
      <c r="C6300" s="2"/>
      <c r="D6300" s="2" t="s">
        <v>16</v>
      </c>
      <c r="E6300" s="4">
        <f>106.55*(1-Z1%)</f>
        <v>106.55</v>
      </c>
      <c r="F6300" s="2">
        <v>25</v>
      </c>
      <c r="G6300" s="2"/>
    </row>
    <row r="6301" spans="1:26" customHeight="1" ht="18" hidden="true" outlineLevel="2">
      <c r="A6301" s="2" t="s">
        <v>11913</v>
      </c>
      <c r="B6301" s="3" t="s">
        <v>11914</v>
      </c>
      <c r="C6301" s="2"/>
      <c r="D6301" s="2" t="s">
        <v>16</v>
      </c>
      <c r="E6301" s="4">
        <f>140.58*(1-Z1%)</f>
        <v>140.58</v>
      </c>
      <c r="F6301" s="2">
        <v>20</v>
      </c>
      <c r="G6301" s="2"/>
    </row>
    <row r="6302" spans="1:26" customHeight="1" ht="18" hidden="true" outlineLevel="2">
      <c r="A6302" s="2" t="s">
        <v>11915</v>
      </c>
      <c r="B6302" s="3" t="s">
        <v>11916</v>
      </c>
      <c r="C6302" s="2"/>
      <c r="D6302" s="2" t="s">
        <v>16</v>
      </c>
      <c r="E6302" s="4">
        <f>140.58*(1-Z1%)</f>
        <v>140.58</v>
      </c>
      <c r="F6302" s="2">
        <v>9</v>
      </c>
      <c r="G6302" s="2"/>
    </row>
    <row r="6303" spans="1:26" customHeight="1" ht="36" hidden="true" outlineLevel="2">
      <c r="A6303" s="2" t="s">
        <v>11917</v>
      </c>
      <c r="B6303" s="3" t="s">
        <v>11918</v>
      </c>
      <c r="C6303" s="2"/>
      <c r="D6303" s="2" t="s">
        <v>16</v>
      </c>
      <c r="E6303" s="4">
        <f>186.50*(1-Z1%)</f>
        <v>186.5</v>
      </c>
      <c r="F6303" s="2">
        <v>12</v>
      </c>
      <c r="G6303" s="2"/>
    </row>
    <row r="6304" spans="1:26" customHeight="1" ht="18" hidden="true" outlineLevel="2">
      <c r="A6304" s="2" t="s">
        <v>11919</v>
      </c>
      <c r="B6304" s="3" t="s">
        <v>11920</v>
      </c>
      <c r="C6304" s="2"/>
      <c r="D6304" s="2" t="s">
        <v>16</v>
      </c>
      <c r="E6304" s="4">
        <f>51.73*(1-Z1%)</f>
        <v>51.73</v>
      </c>
      <c r="F6304" s="2">
        <v>19</v>
      </c>
      <c r="G6304" s="2"/>
    </row>
    <row r="6305" spans="1:26" customHeight="1" ht="18" hidden="true" outlineLevel="2">
      <c r="A6305" s="2" t="s">
        <v>11921</v>
      </c>
      <c r="B6305" s="3" t="s">
        <v>11922</v>
      </c>
      <c r="C6305" s="2"/>
      <c r="D6305" s="2" t="s">
        <v>16</v>
      </c>
      <c r="E6305" s="4">
        <f>82.17*(1-Z1%)</f>
        <v>82.17</v>
      </c>
      <c r="F6305" s="2">
        <v>10</v>
      </c>
      <c r="G6305" s="2"/>
    </row>
    <row r="6306" spans="1:26" customHeight="1" ht="18" hidden="true" outlineLevel="2">
      <c r="A6306" s="2" t="s">
        <v>11923</v>
      </c>
      <c r="B6306" s="3" t="s">
        <v>11924</v>
      </c>
      <c r="C6306" s="2"/>
      <c r="D6306" s="2" t="s">
        <v>16</v>
      </c>
      <c r="E6306" s="4">
        <f>82.55*(1-Z1%)</f>
        <v>82.55</v>
      </c>
      <c r="F6306" s="2">
        <v>12</v>
      </c>
      <c r="G6306" s="2"/>
    </row>
    <row r="6307" spans="1:26" customHeight="1" ht="18" hidden="true" outlineLevel="2">
      <c r="A6307" s="2" t="s">
        <v>11925</v>
      </c>
      <c r="B6307" s="3" t="s">
        <v>11926</v>
      </c>
      <c r="C6307" s="2"/>
      <c r="D6307" s="2" t="s">
        <v>16</v>
      </c>
      <c r="E6307" s="4">
        <f>85.27*(1-Z1%)</f>
        <v>85.27</v>
      </c>
      <c r="F6307" s="2">
        <v>14</v>
      </c>
      <c r="G6307" s="2"/>
    </row>
    <row r="6308" spans="1:26" customHeight="1" ht="18" hidden="true" outlineLevel="2">
      <c r="A6308" s="2" t="s">
        <v>11927</v>
      </c>
      <c r="B6308" s="3" t="s">
        <v>11928</v>
      </c>
      <c r="C6308" s="2"/>
      <c r="D6308" s="2" t="s">
        <v>16</v>
      </c>
      <c r="E6308" s="4">
        <f>37.80*(1-Z1%)</f>
        <v>37.8</v>
      </c>
      <c r="F6308" s="2">
        <v>50</v>
      </c>
      <c r="G6308" s="2"/>
    </row>
    <row r="6309" spans="1:26" customHeight="1" ht="18" hidden="true" outlineLevel="2">
      <c r="A6309" s="2" t="s">
        <v>11929</v>
      </c>
      <c r="B6309" s="3" t="s">
        <v>11930</v>
      </c>
      <c r="C6309" s="2"/>
      <c r="D6309" s="2" t="s">
        <v>16</v>
      </c>
      <c r="E6309" s="4">
        <f>37.80*(1-Z1%)</f>
        <v>37.8</v>
      </c>
      <c r="F6309" s="2">
        <v>25</v>
      </c>
      <c r="G6309" s="2"/>
    </row>
    <row r="6310" spans="1:26" customHeight="1" ht="18" hidden="true" outlineLevel="2">
      <c r="A6310" s="2" t="s">
        <v>11931</v>
      </c>
      <c r="B6310" s="3" t="s">
        <v>11932</v>
      </c>
      <c r="C6310" s="2"/>
      <c r="D6310" s="2" t="s">
        <v>16</v>
      </c>
      <c r="E6310" s="4">
        <f>39.60*(1-Z1%)</f>
        <v>39.6</v>
      </c>
      <c r="F6310" s="2">
        <v>17</v>
      </c>
      <c r="G6310" s="2"/>
    </row>
    <row r="6311" spans="1:26" customHeight="1" ht="18" hidden="true" outlineLevel="2">
      <c r="A6311" s="2" t="s">
        <v>11933</v>
      </c>
      <c r="B6311" s="3" t="s">
        <v>11934</v>
      </c>
      <c r="C6311" s="2"/>
      <c r="D6311" s="2" t="s">
        <v>16</v>
      </c>
      <c r="E6311" s="4">
        <f>39.60*(1-Z1%)</f>
        <v>39.6</v>
      </c>
      <c r="F6311" s="2">
        <v>34</v>
      </c>
      <c r="G6311" s="2"/>
    </row>
    <row r="6312" spans="1:26" customHeight="1" ht="35" hidden="true" outlineLevel="2">
      <c r="A6312" s="5" t="s">
        <v>11935</v>
      </c>
      <c r="B6312" s="5"/>
      <c r="C6312" s="5"/>
      <c r="D6312" s="5"/>
      <c r="E6312" s="5"/>
      <c r="F6312" s="5"/>
      <c r="G6312" s="5"/>
    </row>
    <row r="6313" spans="1:26" customHeight="1" ht="36" hidden="true" outlineLevel="2">
      <c r="A6313" s="2" t="s">
        <v>11936</v>
      </c>
      <c r="B6313" s="3" t="s">
        <v>11937</v>
      </c>
      <c r="C6313" s="2"/>
      <c r="D6313" s="2" t="s">
        <v>16</v>
      </c>
      <c r="E6313" s="4">
        <f>225.88*(1-Z1%)</f>
        <v>225.88</v>
      </c>
      <c r="F6313" s="2">
        <v>1</v>
      </c>
      <c r="G6313" s="2"/>
    </row>
    <row r="6314" spans="1:26" customHeight="1" ht="36" hidden="true" outlineLevel="2">
      <c r="A6314" s="2" t="s">
        <v>11938</v>
      </c>
      <c r="B6314" s="3" t="s">
        <v>11939</v>
      </c>
      <c r="C6314" s="2"/>
      <c r="D6314" s="2" t="s">
        <v>16</v>
      </c>
      <c r="E6314" s="4">
        <f>324.98*(1-Z1%)</f>
        <v>324.98</v>
      </c>
      <c r="F6314" s="2">
        <v>3</v>
      </c>
      <c r="G6314" s="2"/>
    </row>
    <row r="6315" spans="1:26" customHeight="1" ht="36" hidden="true" outlineLevel="2">
      <c r="A6315" s="2" t="s">
        <v>11940</v>
      </c>
      <c r="B6315" s="3" t="s">
        <v>11941</v>
      </c>
      <c r="C6315" s="2"/>
      <c r="D6315" s="2" t="s">
        <v>16</v>
      </c>
      <c r="E6315" s="4">
        <f>289.63*(1-Z1%)</f>
        <v>289.63</v>
      </c>
      <c r="F6315" s="2">
        <v>1</v>
      </c>
      <c r="G6315" s="2"/>
    </row>
    <row r="6316" spans="1:26" customHeight="1" ht="36" hidden="true" outlineLevel="2">
      <c r="A6316" s="2" t="s">
        <v>11942</v>
      </c>
      <c r="B6316" s="3" t="s">
        <v>11943</v>
      </c>
      <c r="C6316" s="2"/>
      <c r="D6316" s="2" t="s">
        <v>16</v>
      </c>
      <c r="E6316" s="4">
        <f>397.34*(1-Z1%)</f>
        <v>397.34</v>
      </c>
      <c r="F6316" s="2">
        <v>2</v>
      </c>
      <c r="G6316" s="2"/>
    </row>
    <row r="6317" spans="1:26" customHeight="1" ht="36" hidden="true" outlineLevel="2">
      <c r="A6317" s="2" t="s">
        <v>11944</v>
      </c>
      <c r="B6317" s="3" t="s">
        <v>11945</v>
      </c>
      <c r="C6317" s="2"/>
      <c r="D6317" s="2" t="s">
        <v>16</v>
      </c>
      <c r="E6317" s="4">
        <f>294.68*(1-Z1%)</f>
        <v>294.68</v>
      </c>
      <c r="F6317" s="2">
        <v>1</v>
      </c>
      <c r="G6317" s="2"/>
    </row>
    <row r="6318" spans="1:26" customHeight="1" ht="36" hidden="true" outlineLevel="2">
      <c r="A6318" s="2" t="s">
        <v>11946</v>
      </c>
      <c r="B6318" s="3" t="s">
        <v>11947</v>
      </c>
      <c r="C6318" s="2"/>
      <c r="D6318" s="2" t="s">
        <v>16</v>
      </c>
      <c r="E6318" s="4">
        <f>256.62*(1-Z1%)</f>
        <v>256.62</v>
      </c>
      <c r="F6318" s="2">
        <v>5</v>
      </c>
      <c r="G6318" s="2"/>
    </row>
    <row r="6319" spans="1:26" customHeight="1" ht="36" hidden="true" outlineLevel="2">
      <c r="A6319" s="2" t="s">
        <v>11948</v>
      </c>
      <c r="B6319" s="3" t="s">
        <v>11949</v>
      </c>
      <c r="C6319" s="2"/>
      <c r="D6319" s="2" t="s">
        <v>16</v>
      </c>
      <c r="E6319" s="4">
        <f>297.38*(1-Z1%)</f>
        <v>297.38</v>
      </c>
      <c r="F6319" s="2">
        <v>1</v>
      </c>
      <c r="G6319" s="2"/>
    </row>
    <row r="6320" spans="1:26" customHeight="1" ht="36" hidden="true" outlineLevel="2">
      <c r="A6320" s="2" t="s">
        <v>11950</v>
      </c>
      <c r="B6320" s="3" t="s">
        <v>11951</v>
      </c>
      <c r="C6320" s="2"/>
      <c r="D6320" s="2" t="s">
        <v>16</v>
      </c>
      <c r="E6320" s="4">
        <f>357.76*(1-Z1%)</f>
        <v>357.76</v>
      </c>
      <c r="F6320" s="2">
        <v>3</v>
      </c>
      <c r="G6320" s="2"/>
    </row>
    <row r="6321" spans="1:26" customHeight="1" ht="36" hidden="true" outlineLevel="2">
      <c r="A6321" s="2" t="s">
        <v>11952</v>
      </c>
      <c r="B6321" s="3" t="s">
        <v>11953</v>
      </c>
      <c r="C6321" s="2"/>
      <c r="D6321" s="2" t="s">
        <v>16</v>
      </c>
      <c r="E6321" s="4">
        <f>279.26*(1-Z1%)</f>
        <v>279.26</v>
      </c>
      <c r="F6321" s="2">
        <v>4</v>
      </c>
      <c r="G6321" s="2"/>
    </row>
    <row r="6322" spans="1:26" customHeight="1" ht="36" hidden="true" outlineLevel="2">
      <c r="A6322" s="2" t="s">
        <v>11954</v>
      </c>
      <c r="B6322" s="3" t="s">
        <v>11955</v>
      </c>
      <c r="C6322" s="2"/>
      <c r="D6322" s="2" t="s">
        <v>16</v>
      </c>
      <c r="E6322" s="4">
        <f>302.61*(1-Z1%)</f>
        <v>302.61</v>
      </c>
      <c r="F6322" s="2">
        <v>2</v>
      </c>
      <c r="G6322" s="2"/>
    </row>
    <row r="6323" spans="1:26" customHeight="1" ht="36" hidden="true" outlineLevel="2">
      <c r="A6323" s="2" t="s">
        <v>11956</v>
      </c>
      <c r="B6323" s="3" t="s">
        <v>11957</v>
      </c>
      <c r="C6323" s="2"/>
      <c r="D6323" s="2" t="s">
        <v>16</v>
      </c>
      <c r="E6323" s="4">
        <f>322.34*(1-Z1%)</f>
        <v>322.34</v>
      </c>
      <c r="F6323" s="2">
        <v>3</v>
      </c>
      <c r="G6323" s="2"/>
    </row>
    <row r="6324" spans="1:26" customHeight="1" ht="36" hidden="true" outlineLevel="2">
      <c r="A6324" s="2" t="s">
        <v>11958</v>
      </c>
      <c r="B6324" s="3" t="s">
        <v>11959</v>
      </c>
      <c r="C6324" s="2"/>
      <c r="D6324" s="2" t="s">
        <v>16</v>
      </c>
      <c r="E6324" s="4">
        <f>322.34*(1-Z1%)</f>
        <v>322.34</v>
      </c>
      <c r="F6324" s="2">
        <v>3</v>
      </c>
      <c r="G6324" s="2"/>
    </row>
    <row r="6325" spans="1:26" customHeight="1" ht="36" hidden="true" outlineLevel="2">
      <c r="A6325" s="2" t="s">
        <v>11960</v>
      </c>
      <c r="B6325" s="3" t="s">
        <v>11961</v>
      </c>
      <c r="C6325" s="2"/>
      <c r="D6325" s="2" t="s">
        <v>16</v>
      </c>
      <c r="E6325" s="4">
        <f>386.82*(1-Z1%)</f>
        <v>386.82</v>
      </c>
      <c r="F6325" s="2">
        <v>1</v>
      </c>
      <c r="G6325" s="2"/>
    </row>
    <row r="6326" spans="1:26" customHeight="1" ht="36" hidden="true" outlineLevel="2">
      <c r="A6326" s="2" t="s">
        <v>11962</v>
      </c>
      <c r="B6326" s="3" t="s">
        <v>11963</v>
      </c>
      <c r="C6326" s="2"/>
      <c r="D6326" s="2" t="s">
        <v>16</v>
      </c>
      <c r="E6326" s="4">
        <f>386.82*(1-Z1%)</f>
        <v>386.82</v>
      </c>
      <c r="F6326" s="2">
        <v>2</v>
      </c>
      <c r="G6326" s="2"/>
    </row>
    <row r="6327" spans="1:26" customHeight="1" ht="36" hidden="true" outlineLevel="2">
      <c r="A6327" s="2" t="s">
        <v>11964</v>
      </c>
      <c r="B6327" s="3" t="s">
        <v>11965</v>
      </c>
      <c r="C6327" s="2"/>
      <c r="D6327" s="2" t="s">
        <v>16</v>
      </c>
      <c r="E6327" s="4">
        <f>333.42*(1-Z1%)</f>
        <v>333.42</v>
      </c>
      <c r="F6327" s="2">
        <v>2</v>
      </c>
      <c r="G6327" s="2"/>
    </row>
    <row r="6328" spans="1:26" customHeight="1" ht="36" hidden="true" outlineLevel="2">
      <c r="A6328" s="2" t="s">
        <v>11966</v>
      </c>
      <c r="B6328" s="3" t="s">
        <v>11967</v>
      </c>
      <c r="C6328" s="2"/>
      <c r="D6328" s="2" t="s">
        <v>16</v>
      </c>
      <c r="E6328" s="4">
        <f>206.66*(1-Z1%)</f>
        <v>206.66</v>
      </c>
      <c r="F6328" s="2">
        <v>5</v>
      </c>
      <c r="G6328" s="2"/>
    </row>
    <row r="6329" spans="1:26" customHeight="1" ht="36" hidden="true" outlineLevel="2">
      <c r="A6329" s="2" t="s">
        <v>11968</v>
      </c>
      <c r="B6329" s="3" t="s">
        <v>11969</v>
      </c>
      <c r="C6329" s="2"/>
      <c r="D6329" s="2" t="s">
        <v>16</v>
      </c>
      <c r="E6329" s="4">
        <f>262.27*(1-Z1%)</f>
        <v>262.27</v>
      </c>
      <c r="F6329" s="2">
        <v>6</v>
      </c>
      <c r="G6329" s="2"/>
    </row>
    <row r="6330" spans="1:26" customHeight="1" ht="36" hidden="true" outlineLevel="2">
      <c r="A6330" s="2" t="s">
        <v>11970</v>
      </c>
      <c r="B6330" s="3" t="s">
        <v>11971</v>
      </c>
      <c r="C6330" s="2"/>
      <c r="D6330" s="2" t="s">
        <v>16</v>
      </c>
      <c r="E6330" s="4">
        <f>278.79*(1-Z1%)</f>
        <v>278.79</v>
      </c>
      <c r="F6330" s="2">
        <v>4</v>
      </c>
      <c r="G6330" s="2"/>
    </row>
    <row r="6331" spans="1:26" customHeight="1" ht="36" hidden="true" outlineLevel="2">
      <c r="A6331" s="2" t="s">
        <v>11972</v>
      </c>
      <c r="B6331" s="3" t="s">
        <v>11973</v>
      </c>
      <c r="C6331" s="2"/>
      <c r="D6331" s="2" t="s">
        <v>16</v>
      </c>
      <c r="E6331" s="4">
        <f>231.94*(1-Z1%)</f>
        <v>231.94</v>
      </c>
      <c r="F6331" s="2">
        <v>6</v>
      </c>
      <c r="G6331" s="2"/>
    </row>
    <row r="6332" spans="1:26" customHeight="1" ht="36" hidden="true" outlineLevel="2">
      <c r="A6332" s="2" t="s">
        <v>11974</v>
      </c>
      <c r="B6332" s="3" t="s">
        <v>11975</v>
      </c>
      <c r="C6332" s="2"/>
      <c r="D6332" s="2" t="s">
        <v>16</v>
      </c>
      <c r="E6332" s="4">
        <f>328.27*(1-Z1%)</f>
        <v>328.27</v>
      </c>
      <c r="F6332" s="2">
        <v>15</v>
      </c>
      <c r="G6332" s="2"/>
    </row>
    <row r="6333" spans="1:26" customHeight="1" ht="36" hidden="true" outlineLevel="2">
      <c r="A6333" s="2" t="s">
        <v>11976</v>
      </c>
      <c r="B6333" s="3" t="s">
        <v>11977</v>
      </c>
      <c r="C6333" s="2"/>
      <c r="D6333" s="2" t="s">
        <v>16</v>
      </c>
      <c r="E6333" s="4">
        <f>261.01*(1-Z1%)</f>
        <v>261.01</v>
      </c>
      <c r="F6333" s="2">
        <v>14</v>
      </c>
      <c r="G6333" s="2"/>
    </row>
    <row r="6334" spans="1:26" customHeight="1" ht="36" hidden="true" outlineLevel="2">
      <c r="A6334" s="2" t="s">
        <v>11978</v>
      </c>
      <c r="B6334" s="3" t="s">
        <v>11979</v>
      </c>
      <c r="C6334" s="2"/>
      <c r="D6334" s="2" t="s">
        <v>16</v>
      </c>
      <c r="E6334" s="4">
        <f>426.13*(1-Z1%)</f>
        <v>426.13</v>
      </c>
      <c r="F6334" s="2">
        <v>1</v>
      </c>
      <c r="G6334" s="2"/>
    </row>
    <row r="6335" spans="1:26" customHeight="1" ht="36" hidden="true" outlineLevel="2">
      <c r="A6335" s="2" t="s">
        <v>11980</v>
      </c>
      <c r="B6335" s="3" t="s">
        <v>11981</v>
      </c>
      <c r="C6335" s="2"/>
      <c r="D6335" s="2" t="s">
        <v>16</v>
      </c>
      <c r="E6335" s="4">
        <f>342.09*(1-Z1%)</f>
        <v>342.09</v>
      </c>
      <c r="F6335" s="2">
        <v>1</v>
      </c>
      <c r="G6335" s="2"/>
    </row>
    <row r="6336" spans="1:26" customHeight="1" ht="36" hidden="true" outlineLevel="2">
      <c r="A6336" s="2" t="s">
        <v>11982</v>
      </c>
      <c r="B6336" s="3" t="s">
        <v>11983</v>
      </c>
      <c r="C6336" s="2"/>
      <c r="D6336" s="2" t="s">
        <v>16</v>
      </c>
      <c r="E6336" s="4">
        <f>349.39*(1-Z1%)</f>
        <v>349.39</v>
      </c>
      <c r="F6336" s="2">
        <v>1</v>
      </c>
      <c r="G6336" s="2"/>
    </row>
    <row r="6337" spans="1:26" customHeight="1" ht="36" hidden="true" outlineLevel="2">
      <c r="A6337" s="2" t="s">
        <v>11984</v>
      </c>
      <c r="B6337" s="3" t="s">
        <v>11985</v>
      </c>
      <c r="C6337" s="2"/>
      <c r="D6337" s="2" t="s">
        <v>16</v>
      </c>
      <c r="E6337" s="4">
        <f>477.87*(1-Z1%)</f>
        <v>477.87</v>
      </c>
      <c r="F6337" s="2">
        <v>1</v>
      </c>
      <c r="G6337" s="2"/>
    </row>
    <row r="6338" spans="1:26" customHeight="1" ht="36" hidden="true" outlineLevel="2">
      <c r="A6338" s="2" t="s">
        <v>11986</v>
      </c>
      <c r="B6338" s="3" t="s">
        <v>11987</v>
      </c>
      <c r="C6338" s="2"/>
      <c r="D6338" s="2" t="s">
        <v>16</v>
      </c>
      <c r="E6338" s="4">
        <f>306.60*(1-Z1%)</f>
        <v>306.6</v>
      </c>
      <c r="F6338" s="2">
        <v>9</v>
      </c>
      <c r="G6338" s="2"/>
    </row>
    <row r="6339" spans="1:26" customHeight="1" ht="36" hidden="true" outlineLevel="2">
      <c r="A6339" s="2" t="s">
        <v>11988</v>
      </c>
      <c r="B6339" s="3" t="s">
        <v>11989</v>
      </c>
      <c r="C6339" s="2"/>
      <c r="D6339" s="2" t="s">
        <v>16</v>
      </c>
      <c r="E6339" s="4">
        <f>255.59*(1-Z1%)</f>
        <v>255.59</v>
      </c>
      <c r="F6339" s="2">
        <v>8</v>
      </c>
      <c r="G6339" s="2"/>
    </row>
    <row r="6340" spans="1:26" customHeight="1" ht="36" hidden="true" outlineLevel="2">
      <c r="A6340" s="2" t="s">
        <v>11990</v>
      </c>
      <c r="B6340" s="3" t="s">
        <v>11991</v>
      </c>
      <c r="C6340" s="2"/>
      <c r="D6340" s="2" t="s">
        <v>16</v>
      </c>
      <c r="E6340" s="4">
        <f>353.10*(1-Z1%)</f>
        <v>353.1</v>
      </c>
      <c r="F6340" s="2">
        <v>8</v>
      </c>
      <c r="G6340" s="2"/>
    </row>
    <row r="6341" spans="1:26" customHeight="1" ht="36" hidden="true" outlineLevel="2">
      <c r="A6341" s="2" t="s">
        <v>11992</v>
      </c>
      <c r="B6341" s="3" t="s">
        <v>11993</v>
      </c>
      <c r="C6341" s="2"/>
      <c r="D6341" s="2" t="s">
        <v>16</v>
      </c>
      <c r="E6341" s="4">
        <f>293.60*(1-Z1%)</f>
        <v>293.6</v>
      </c>
      <c r="F6341" s="2">
        <v>11</v>
      </c>
      <c r="G6341" s="2"/>
    </row>
    <row r="6342" spans="1:26" customHeight="1" ht="36" hidden="true" outlineLevel="2">
      <c r="A6342" s="2" t="s">
        <v>11994</v>
      </c>
      <c r="B6342" s="3" t="s">
        <v>11995</v>
      </c>
      <c r="C6342" s="2"/>
      <c r="D6342" s="2" t="s">
        <v>16</v>
      </c>
      <c r="E6342" s="4">
        <f>435.61*(1-Z1%)</f>
        <v>435.61</v>
      </c>
      <c r="F6342" s="2">
        <v>8</v>
      </c>
      <c r="G6342" s="2"/>
    </row>
    <row r="6343" spans="1:26" customHeight="1" ht="36" hidden="true" outlineLevel="2">
      <c r="A6343" s="2" t="s">
        <v>11996</v>
      </c>
      <c r="B6343" s="3" t="s">
        <v>11997</v>
      </c>
      <c r="C6343" s="2"/>
      <c r="D6343" s="2" t="s">
        <v>16</v>
      </c>
      <c r="E6343" s="4">
        <f>378.10*(1-Z1%)</f>
        <v>378.1</v>
      </c>
      <c r="F6343" s="2">
        <v>1</v>
      </c>
      <c r="G6343" s="2"/>
    </row>
    <row r="6344" spans="1:26" customHeight="1" ht="36" hidden="true" outlineLevel="2">
      <c r="A6344" s="2" t="s">
        <v>11998</v>
      </c>
      <c r="B6344" s="3" t="s">
        <v>11999</v>
      </c>
      <c r="C6344" s="2"/>
      <c r="D6344" s="2" t="s">
        <v>16</v>
      </c>
      <c r="E6344" s="4">
        <f>338.16*(1-Z1%)</f>
        <v>338.16</v>
      </c>
      <c r="F6344" s="2">
        <v>2</v>
      </c>
      <c r="G6344" s="2"/>
    </row>
    <row r="6345" spans="1:26" customHeight="1" ht="36" hidden="true" outlineLevel="2">
      <c r="A6345" s="2" t="s">
        <v>12000</v>
      </c>
      <c r="B6345" s="3" t="s">
        <v>12001</v>
      </c>
      <c r="C6345" s="2"/>
      <c r="D6345" s="2" t="s">
        <v>16</v>
      </c>
      <c r="E6345" s="4">
        <f>174.15*(1-Z1%)</f>
        <v>174.15</v>
      </c>
      <c r="F6345" s="2">
        <v>1</v>
      </c>
      <c r="G6345" s="2"/>
    </row>
    <row r="6346" spans="1:26" customHeight="1" ht="36" hidden="true" outlineLevel="2">
      <c r="A6346" s="2" t="s">
        <v>12002</v>
      </c>
      <c r="B6346" s="3" t="s">
        <v>12003</v>
      </c>
      <c r="C6346" s="2"/>
      <c r="D6346" s="2" t="s">
        <v>16</v>
      </c>
      <c r="E6346" s="4">
        <f>384.96*(1-Z1%)</f>
        <v>384.96</v>
      </c>
      <c r="F6346" s="2">
        <v>2</v>
      </c>
      <c r="G6346" s="2"/>
    </row>
    <row r="6347" spans="1:26" customHeight="1" ht="35" hidden="true" outlineLevel="2">
      <c r="A6347" s="5" t="s">
        <v>12004</v>
      </c>
      <c r="B6347" s="5"/>
      <c r="C6347" s="5"/>
      <c r="D6347" s="5"/>
      <c r="E6347" s="5"/>
      <c r="F6347" s="5"/>
      <c r="G6347" s="5"/>
    </row>
    <row r="6348" spans="1:26" customHeight="1" ht="36" hidden="true" outlineLevel="2">
      <c r="A6348" s="2" t="s">
        <v>12005</v>
      </c>
      <c r="B6348" s="3" t="s">
        <v>12006</v>
      </c>
      <c r="C6348" s="2"/>
      <c r="D6348" s="2" t="s">
        <v>16</v>
      </c>
      <c r="E6348" s="4">
        <f>136.13*(1-Z1%)</f>
        <v>136.13</v>
      </c>
      <c r="F6348" s="2">
        <v>22</v>
      </c>
      <c r="G6348" s="2"/>
    </row>
    <row r="6349" spans="1:26" customHeight="1" ht="18" hidden="true" outlineLevel="2">
      <c r="A6349" s="2" t="s">
        <v>12007</v>
      </c>
      <c r="B6349" s="3" t="s">
        <v>12008</v>
      </c>
      <c r="C6349" s="2"/>
      <c r="D6349" s="2" t="s">
        <v>16</v>
      </c>
      <c r="E6349" s="4">
        <f>164.72*(1-Z1%)</f>
        <v>164.72</v>
      </c>
      <c r="F6349" s="2">
        <v>10</v>
      </c>
      <c r="G6349" s="2"/>
    </row>
    <row r="6350" spans="1:26" customHeight="1" ht="36" hidden="true" outlineLevel="2">
      <c r="A6350" s="2" t="s">
        <v>12009</v>
      </c>
      <c r="B6350" s="3" t="s">
        <v>12010</v>
      </c>
      <c r="C6350" s="2"/>
      <c r="D6350" s="2" t="s">
        <v>16</v>
      </c>
      <c r="E6350" s="4">
        <f>171.27*(1-Z1%)</f>
        <v>171.27</v>
      </c>
      <c r="F6350" s="2">
        <v>6</v>
      </c>
      <c r="G6350" s="2"/>
    </row>
    <row r="6351" spans="1:26" customHeight="1" ht="36" hidden="true" outlineLevel="2">
      <c r="A6351" s="2" t="s">
        <v>12011</v>
      </c>
      <c r="B6351" s="3" t="s">
        <v>12012</v>
      </c>
      <c r="C6351" s="2"/>
      <c r="D6351" s="2" t="s">
        <v>16</v>
      </c>
      <c r="E6351" s="4">
        <f>175.15*(1-Z1%)</f>
        <v>175.15</v>
      </c>
      <c r="F6351" s="2">
        <v>8</v>
      </c>
      <c r="G6351" s="2"/>
    </row>
    <row r="6352" spans="1:26" customHeight="1" ht="36" hidden="true" outlineLevel="2">
      <c r="A6352" s="2" t="s">
        <v>12013</v>
      </c>
      <c r="B6352" s="3" t="s">
        <v>12014</v>
      </c>
      <c r="C6352" s="2"/>
      <c r="D6352" s="2" t="s">
        <v>16</v>
      </c>
      <c r="E6352" s="4">
        <f>218.89*(1-Z1%)</f>
        <v>218.89</v>
      </c>
      <c r="F6352" s="2">
        <v>1</v>
      </c>
      <c r="G6352" s="2"/>
    </row>
    <row r="6353" spans="1:26" customHeight="1" ht="36" hidden="true" outlineLevel="2">
      <c r="A6353" s="2" t="s">
        <v>12015</v>
      </c>
      <c r="B6353" s="3" t="s">
        <v>12016</v>
      </c>
      <c r="C6353" s="2"/>
      <c r="D6353" s="2" t="s">
        <v>16</v>
      </c>
      <c r="E6353" s="4">
        <f>173.86*(1-Z1%)</f>
        <v>173.86</v>
      </c>
      <c r="F6353" s="2">
        <v>3</v>
      </c>
      <c r="G6353" s="2"/>
    </row>
    <row r="6354" spans="1:26" customHeight="1" ht="36" hidden="true" outlineLevel="2">
      <c r="A6354" s="2" t="s">
        <v>12017</v>
      </c>
      <c r="B6354" s="3" t="s">
        <v>12018</v>
      </c>
      <c r="C6354" s="2"/>
      <c r="D6354" s="2" t="s">
        <v>16</v>
      </c>
      <c r="E6354" s="4">
        <f>176.95*(1-Z1%)</f>
        <v>176.95</v>
      </c>
      <c r="F6354" s="2">
        <v>5</v>
      </c>
      <c r="G6354" s="2"/>
    </row>
    <row r="6355" spans="1:26" customHeight="1" ht="36" hidden="true" outlineLevel="2">
      <c r="A6355" s="2" t="s">
        <v>12019</v>
      </c>
      <c r="B6355" s="3" t="s">
        <v>12020</v>
      </c>
      <c r="C6355" s="2"/>
      <c r="D6355" s="2" t="s">
        <v>16</v>
      </c>
      <c r="E6355" s="4">
        <f>430.97*(1-Z1%)</f>
        <v>430.97</v>
      </c>
      <c r="F6355" s="2">
        <v>2</v>
      </c>
      <c r="G6355" s="2"/>
    </row>
    <row r="6356" spans="1:26" customHeight="1" ht="36" hidden="true" outlineLevel="2">
      <c r="A6356" s="2" t="s">
        <v>12021</v>
      </c>
      <c r="B6356" s="3" t="s">
        <v>12022</v>
      </c>
      <c r="C6356" s="2"/>
      <c r="D6356" s="2" t="s">
        <v>16</v>
      </c>
      <c r="E6356" s="4">
        <f>184.36*(1-Z1%)</f>
        <v>184.36</v>
      </c>
      <c r="F6356" s="2">
        <v>1</v>
      </c>
      <c r="G6356" s="2"/>
    </row>
    <row r="6357" spans="1:26" customHeight="1" ht="36" hidden="true" outlineLevel="2">
      <c r="A6357" s="2" t="s">
        <v>12023</v>
      </c>
      <c r="B6357" s="3" t="s">
        <v>12024</v>
      </c>
      <c r="C6357" s="2"/>
      <c r="D6357" s="2" t="s">
        <v>16</v>
      </c>
      <c r="E6357" s="4">
        <f>194.56*(1-Z1%)</f>
        <v>194.56</v>
      </c>
      <c r="F6357" s="2">
        <v>7</v>
      </c>
      <c r="G6357" s="2"/>
    </row>
    <row r="6358" spans="1:26" customHeight="1" ht="36" hidden="true" outlineLevel="2">
      <c r="A6358" s="2" t="s">
        <v>12025</v>
      </c>
      <c r="B6358" s="3" t="s">
        <v>12026</v>
      </c>
      <c r="C6358" s="2"/>
      <c r="D6358" s="2" t="s">
        <v>16</v>
      </c>
      <c r="E6358" s="4">
        <f>259.38*(1-Z1%)</f>
        <v>259.38</v>
      </c>
      <c r="F6358" s="2">
        <v>7</v>
      </c>
      <c r="G6358" s="2"/>
    </row>
    <row r="6359" spans="1:26" customHeight="1" ht="36" hidden="true" outlineLevel="2">
      <c r="A6359" s="2" t="s">
        <v>12027</v>
      </c>
      <c r="B6359" s="3" t="s">
        <v>12028</v>
      </c>
      <c r="C6359" s="2"/>
      <c r="D6359" s="2" t="s">
        <v>16</v>
      </c>
      <c r="E6359" s="4">
        <f>348.13*(1-Z1%)</f>
        <v>348.13</v>
      </c>
      <c r="F6359" s="2">
        <v>7</v>
      </c>
      <c r="G6359" s="2"/>
    </row>
    <row r="6360" spans="1:26" customHeight="1" ht="36" hidden="true" outlineLevel="2">
      <c r="A6360" s="2" t="s">
        <v>12029</v>
      </c>
      <c r="B6360" s="3" t="s">
        <v>12030</v>
      </c>
      <c r="C6360" s="2"/>
      <c r="D6360" s="2" t="s">
        <v>16</v>
      </c>
      <c r="E6360" s="4">
        <f>202.77*(1-Z1%)</f>
        <v>202.77</v>
      </c>
      <c r="F6360" s="2">
        <v>6</v>
      </c>
      <c r="G6360" s="2"/>
    </row>
    <row r="6361" spans="1:26" customHeight="1" ht="36" hidden="true" outlineLevel="2">
      <c r="A6361" s="2" t="s">
        <v>12031</v>
      </c>
      <c r="B6361" s="3" t="s">
        <v>12032</v>
      </c>
      <c r="C6361" s="2"/>
      <c r="D6361" s="2" t="s">
        <v>16</v>
      </c>
      <c r="E6361" s="4">
        <f>232.85*(1-Z1%)</f>
        <v>232.85</v>
      </c>
      <c r="F6361" s="2">
        <v>12</v>
      </c>
      <c r="G6361" s="2"/>
    </row>
    <row r="6362" spans="1:26" customHeight="1" ht="36" hidden="true" outlineLevel="2">
      <c r="A6362" s="2" t="s">
        <v>12033</v>
      </c>
      <c r="B6362" s="3" t="s">
        <v>12034</v>
      </c>
      <c r="C6362" s="2"/>
      <c r="D6362" s="2" t="s">
        <v>16</v>
      </c>
      <c r="E6362" s="4">
        <f>274.82*(1-Z1%)</f>
        <v>274.82</v>
      </c>
      <c r="F6362" s="2">
        <v>3</v>
      </c>
      <c r="G6362" s="2"/>
    </row>
    <row r="6363" spans="1:26" customHeight="1" ht="36" hidden="true" outlineLevel="2">
      <c r="A6363" s="2" t="s">
        <v>12035</v>
      </c>
      <c r="B6363" s="3" t="s">
        <v>12036</v>
      </c>
      <c r="C6363" s="2"/>
      <c r="D6363" s="2" t="s">
        <v>16</v>
      </c>
      <c r="E6363" s="4">
        <f>105.19*(1-Z1%)</f>
        <v>105.19</v>
      </c>
      <c r="F6363" s="2">
        <v>6</v>
      </c>
      <c r="G6363" s="2"/>
    </row>
    <row r="6364" spans="1:26" customHeight="1" ht="36" hidden="true" outlineLevel="2">
      <c r="A6364" s="2" t="s">
        <v>12037</v>
      </c>
      <c r="B6364" s="3" t="s">
        <v>12038</v>
      </c>
      <c r="C6364" s="2"/>
      <c r="D6364" s="2" t="s">
        <v>16</v>
      </c>
      <c r="E6364" s="4">
        <f>179.44*(1-Z1%)</f>
        <v>179.44</v>
      </c>
      <c r="F6364" s="2">
        <v>2</v>
      </c>
      <c r="G6364" s="2"/>
    </row>
    <row r="6365" spans="1:26" customHeight="1" ht="36" hidden="true" outlineLevel="2">
      <c r="A6365" s="2" t="s">
        <v>12039</v>
      </c>
      <c r="B6365" s="3" t="s">
        <v>12040</v>
      </c>
      <c r="C6365" s="2"/>
      <c r="D6365" s="2" t="s">
        <v>16</v>
      </c>
      <c r="E6365" s="4">
        <f>136.13*(1-Z1%)</f>
        <v>136.13</v>
      </c>
      <c r="F6365" s="2">
        <v>3</v>
      </c>
      <c r="G6365" s="2"/>
    </row>
    <row r="6366" spans="1:26" customHeight="1" ht="36" hidden="true" outlineLevel="2">
      <c r="A6366" s="2" t="s">
        <v>12041</v>
      </c>
      <c r="B6366" s="3" t="s">
        <v>12042</v>
      </c>
      <c r="C6366" s="2"/>
      <c r="D6366" s="2" t="s">
        <v>16</v>
      </c>
      <c r="E6366" s="4">
        <f>226.47*(1-Z1%)</f>
        <v>226.47</v>
      </c>
      <c r="F6366" s="2">
        <v>3</v>
      </c>
      <c r="G6366" s="2"/>
    </row>
    <row r="6367" spans="1:26" customHeight="1" ht="36" hidden="true" outlineLevel="2">
      <c r="A6367" s="2" t="s">
        <v>12043</v>
      </c>
      <c r="B6367" s="3" t="s">
        <v>12044</v>
      </c>
      <c r="C6367" s="2"/>
      <c r="D6367" s="2" t="s">
        <v>16</v>
      </c>
      <c r="E6367" s="4">
        <f>152.22*(1-Z1%)</f>
        <v>152.22</v>
      </c>
      <c r="F6367" s="2">
        <v>2</v>
      </c>
      <c r="G6367" s="2"/>
    </row>
    <row r="6368" spans="1:26" customHeight="1" ht="36" hidden="true" outlineLevel="2">
      <c r="A6368" s="2" t="s">
        <v>12045</v>
      </c>
      <c r="B6368" s="3" t="s">
        <v>12046</v>
      </c>
      <c r="C6368" s="2"/>
      <c r="D6368" s="2" t="s">
        <v>16</v>
      </c>
      <c r="E6368" s="4">
        <f>294.53*(1-Z1%)</f>
        <v>294.53</v>
      </c>
      <c r="F6368" s="2">
        <v>2</v>
      </c>
      <c r="G6368" s="2"/>
    </row>
    <row r="6369" spans="1:26" customHeight="1" ht="36" hidden="true" outlineLevel="2">
      <c r="A6369" s="2" t="s">
        <v>12047</v>
      </c>
      <c r="B6369" s="3" t="s">
        <v>12048</v>
      </c>
      <c r="C6369" s="2"/>
      <c r="D6369" s="2" t="s">
        <v>16</v>
      </c>
      <c r="E6369" s="4">
        <f>198.00*(1-Z1%)</f>
        <v>198</v>
      </c>
      <c r="F6369" s="2">
        <v>2</v>
      </c>
      <c r="G6369" s="2"/>
    </row>
    <row r="6370" spans="1:26" customHeight="1" ht="36" hidden="true" outlineLevel="2">
      <c r="A6370" s="2" t="s">
        <v>12049</v>
      </c>
      <c r="B6370" s="3" t="s">
        <v>12050</v>
      </c>
      <c r="C6370" s="2"/>
      <c r="D6370" s="2" t="s">
        <v>16</v>
      </c>
      <c r="E6370" s="4">
        <f>102.72*(1-Z1%)</f>
        <v>102.72</v>
      </c>
      <c r="F6370" s="2">
        <v>6</v>
      </c>
      <c r="G6370" s="2"/>
    </row>
    <row r="6371" spans="1:26" customHeight="1" ht="36" hidden="true" outlineLevel="2">
      <c r="A6371" s="2" t="s">
        <v>12051</v>
      </c>
      <c r="B6371" s="3" t="s">
        <v>12052</v>
      </c>
      <c r="C6371" s="2"/>
      <c r="D6371" s="2" t="s">
        <v>16</v>
      </c>
      <c r="E6371" s="4">
        <f>136.13*(1-Z1%)</f>
        <v>136.13</v>
      </c>
      <c r="F6371" s="2">
        <v>5</v>
      </c>
      <c r="G6371" s="2"/>
    </row>
    <row r="6372" spans="1:26" customHeight="1" ht="36" hidden="true" outlineLevel="2">
      <c r="A6372" s="2" t="s">
        <v>12053</v>
      </c>
      <c r="B6372" s="3" t="s">
        <v>12054</v>
      </c>
      <c r="C6372" s="2"/>
      <c r="D6372" s="2" t="s">
        <v>16</v>
      </c>
      <c r="E6372" s="4">
        <f>108.90*(1-Z1%)</f>
        <v>108.9</v>
      </c>
      <c r="F6372" s="2">
        <v>10</v>
      </c>
      <c r="G6372" s="2"/>
    </row>
    <row r="6373" spans="1:26" customHeight="1" ht="36" hidden="true" outlineLevel="2">
      <c r="A6373" s="2" t="s">
        <v>12055</v>
      </c>
      <c r="B6373" s="3" t="s">
        <v>12056</v>
      </c>
      <c r="C6373" s="2"/>
      <c r="D6373" s="2" t="s">
        <v>16</v>
      </c>
      <c r="E6373" s="4">
        <f>184.39*(1-Z1%)</f>
        <v>184.39</v>
      </c>
      <c r="F6373" s="2">
        <v>5</v>
      </c>
      <c r="G6373" s="2"/>
    </row>
    <row r="6374" spans="1:26" customHeight="1" ht="36" hidden="true" outlineLevel="2">
      <c r="A6374" s="2" t="s">
        <v>12057</v>
      </c>
      <c r="B6374" s="3" t="s">
        <v>12058</v>
      </c>
      <c r="C6374" s="2"/>
      <c r="D6374" s="2" t="s">
        <v>16</v>
      </c>
      <c r="E6374" s="4">
        <f>147.27*(1-Z1%)</f>
        <v>147.27</v>
      </c>
      <c r="F6374" s="2">
        <v>6</v>
      </c>
      <c r="G6374" s="2"/>
    </row>
    <row r="6375" spans="1:26" customHeight="1" ht="36" hidden="true" outlineLevel="2">
      <c r="A6375" s="2" t="s">
        <v>12059</v>
      </c>
      <c r="B6375" s="3" t="s">
        <v>12060</v>
      </c>
      <c r="C6375" s="2"/>
      <c r="D6375" s="2" t="s">
        <v>16</v>
      </c>
      <c r="E6375" s="4">
        <f>228.94*(1-Z1%)</f>
        <v>228.94</v>
      </c>
      <c r="F6375" s="2">
        <v>7</v>
      </c>
      <c r="G6375" s="2"/>
    </row>
    <row r="6376" spans="1:26" customHeight="1" ht="36" hidden="true" outlineLevel="2">
      <c r="A6376" s="2" t="s">
        <v>12061</v>
      </c>
      <c r="B6376" s="3" t="s">
        <v>12062</v>
      </c>
      <c r="C6376" s="2"/>
      <c r="D6376" s="2" t="s">
        <v>16</v>
      </c>
      <c r="E6376" s="4">
        <f>170.78*(1-Z1%)</f>
        <v>170.78</v>
      </c>
      <c r="F6376" s="2">
        <v>6</v>
      </c>
      <c r="G6376" s="2"/>
    </row>
    <row r="6377" spans="1:26" customHeight="1" ht="36" hidden="true" outlineLevel="2">
      <c r="A6377" s="2" t="s">
        <v>12063</v>
      </c>
      <c r="B6377" s="3" t="s">
        <v>12064</v>
      </c>
      <c r="C6377" s="2"/>
      <c r="D6377" s="2" t="s">
        <v>16</v>
      </c>
      <c r="E6377" s="4">
        <f>299.48*(1-Z1%)</f>
        <v>299.48</v>
      </c>
      <c r="F6377" s="2">
        <v>2</v>
      </c>
      <c r="G6377" s="2"/>
    </row>
    <row r="6378" spans="1:26" customHeight="1" ht="36" hidden="true" outlineLevel="2">
      <c r="A6378" s="2" t="s">
        <v>12065</v>
      </c>
      <c r="B6378" s="3" t="s">
        <v>12066</v>
      </c>
      <c r="C6378" s="2"/>
      <c r="D6378" s="2" t="s">
        <v>16</v>
      </c>
      <c r="E6378" s="4">
        <f>220.28*(1-Z1%)</f>
        <v>220.28</v>
      </c>
      <c r="F6378" s="2">
        <v>2</v>
      </c>
      <c r="G6378" s="2"/>
    </row>
    <row r="6379" spans="1:26" customHeight="1" ht="36" hidden="true" outlineLevel="2">
      <c r="A6379" s="2" t="s">
        <v>12067</v>
      </c>
      <c r="B6379" s="3" t="s">
        <v>12068</v>
      </c>
      <c r="C6379" s="2"/>
      <c r="D6379" s="2" t="s">
        <v>16</v>
      </c>
      <c r="E6379" s="4">
        <f>116.33*(1-Z1%)</f>
        <v>116.33</v>
      </c>
      <c r="F6379" s="2">
        <v>1</v>
      </c>
      <c r="G6379" s="2"/>
    </row>
    <row r="6380" spans="1:26" customHeight="1" ht="36" hidden="true" outlineLevel="2">
      <c r="A6380" s="2" t="s">
        <v>12069</v>
      </c>
      <c r="B6380" s="3" t="s">
        <v>12070</v>
      </c>
      <c r="C6380" s="2"/>
      <c r="D6380" s="2" t="s">
        <v>16</v>
      </c>
      <c r="E6380" s="4">
        <f>143.55*(1-Z1%)</f>
        <v>143.55</v>
      </c>
      <c r="F6380" s="2">
        <v>7</v>
      </c>
      <c r="G6380" s="2"/>
    </row>
    <row r="6381" spans="1:26" customHeight="1" ht="36" hidden="true" outlineLevel="2">
      <c r="A6381" s="2" t="s">
        <v>12071</v>
      </c>
      <c r="B6381" s="3" t="s">
        <v>12072</v>
      </c>
      <c r="C6381" s="2"/>
      <c r="D6381" s="2" t="s">
        <v>16</v>
      </c>
      <c r="E6381" s="4">
        <f>188.10*(1-Z1%)</f>
        <v>188.1</v>
      </c>
      <c r="F6381" s="2">
        <v>4</v>
      </c>
      <c r="G6381" s="2"/>
    </row>
    <row r="6382" spans="1:26" customHeight="1" ht="36" hidden="true" outlineLevel="2">
      <c r="A6382" s="2" t="s">
        <v>12073</v>
      </c>
      <c r="B6382" s="3" t="s">
        <v>12074</v>
      </c>
      <c r="C6382" s="2"/>
      <c r="D6382" s="2" t="s">
        <v>16</v>
      </c>
      <c r="E6382" s="4">
        <f>147.27*(1-Z1%)</f>
        <v>147.27</v>
      </c>
      <c r="F6382" s="2">
        <v>3</v>
      </c>
      <c r="G6382" s="2"/>
    </row>
    <row r="6383" spans="1:26" customHeight="1" ht="36" hidden="true" outlineLevel="2">
      <c r="A6383" s="2" t="s">
        <v>12075</v>
      </c>
      <c r="B6383" s="3" t="s">
        <v>12076</v>
      </c>
      <c r="C6383" s="2"/>
      <c r="D6383" s="2" t="s">
        <v>16</v>
      </c>
      <c r="E6383" s="4">
        <f>237.60*(1-Z1%)</f>
        <v>237.6</v>
      </c>
      <c r="F6383" s="2">
        <v>4</v>
      </c>
      <c r="G6383" s="2"/>
    </row>
    <row r="6384" spans="1:26" customHeight="1" ht="36" hidden="true" outlineLevel="2">
      <c r="A6384" s="2" t="s">
        <v>12077</v>
      </c>
      <c r="B6384" s="3" t="s">
        <v>12078</v>
      </c>
      <c r="C6384" s="2"/>
      <c r="D6384" s="2" t="s">
        <v>16</v>
      </c>
      <c r="E6384" s="4">
        <f>179.44*(1-Z1%)</f>
        <v>179.44</v>
      </c>
      <c r="F6384" s="2">
        <v>4</v>
      </c>
      <c r="G6384" s="2"/>
    </row>
    <row r="6385" spans="1:26" customHeight="1" ht="36" hidden="true" outlineLevel="2">
      <c r="A6385" s="2" t="s">
        <v>12079</v>
      </c>
      <c r="B6385" s="3" t="s">
        <v>12080</v>
      </c>
      <c r="C6385" s="2"/>
      <c r="D6385" s="2" t="s">
        <v>16</v>
      </c>
      <c r="E6385" s="4">
        <f>304.43*(1-Z1%)</f>
        <v>304.43</v>
      </c>
      <c r="F6385" s="2">
        <v>3</v>
      </c>
      <c r="G6385" s="2"/>
    </row>
    <row r="6386" spans="1:26" customHeight="1" ht="36" hidden="true" outlineLevel="2">
      <c r="A6386" s="2" t="s">
        <v>12081</v>
      </c>
      <c r="B6386" s="3" t="s">
        <v>12082</v>
      </c>
      <c r="C6386" s="2"/>
      <c r="D6386" s="2" t="s">
        <v>16</v>
      </c>
      <c r="E6386" s="4">
        <f>225.23*(1-Z1%)</f>
        <v>225.23</v>
      </c>
      <c r="F6386" s="2">
        <v>3</v>
      </c>
      <c r="G6386" s="2"/>
    </row>
    <row r="6387" spans="1:26" customHeight="1" ht="36" hidden="true" outlineLevel="2">
      <c r="A6387" s="2" t="s">
        <v>12083</v>
      </c>
      <c r="B6387" s="3" t="s">
        <v>12084</v>
      </c>
      <c r="C6387" s="2"/>
      <c r="D6387" s="2" t="s">
        <v>16</v>
      </c>
      <c r="E6387" s="4">
        <f>61.43*(1-Z1%)</f>
        <v>61.43</v>
      </c>
      <c r="F6387" s="2">
        <v>27</v>
      </c>
      <c r="G6387" s="2"/>
    </row>
    <row r="6388" spans="1:26" customHeight="1" ht="36" hidden="true" outlineLevel="2">
      <c r="A6388" s="2" t="s">
        <v>12085</v>
      </c>
      <c r="B6388" s="3" t="s">
        <v>12086</v>
      </c>
      <c r="C6388" s="2"/>
      <c r="D6388" s="2" t="s">
        <v>16</v>
      </c>
      <c r="E6388" s="4">
        <f>152.38*(1-Z1%)</f>
        <v>152.38</v>
      </c>
      <c r="F6388" s="2">
        <v>18</v>
      </c>
      <c r="G6388" s="2"/>
    </row>
    <row r="6389" spans="1:26" customHeight="1" ht="36" hidden="true" outlineLevel="2">
      <c r="A6389" s="2" t="s">
        <v>12087</v>
      </c>
      <c r="B6389" s="3" t="s">
        <v>12088</v>
      </c>
      <c r="C6389" s="2"/>
      <c r="D6389" s="2" t="s">
        <v>16</v>
      </c>
      <c r="E6389" s="4">
        <f>76.78*(1-Z1%)</f>
        <v>76.78</v>
      </c>
      <c r="F6389" s="2">
        <v>13</v>
      </c>
      <c r="G6389" s="2"/>
    </row>
    <row r="6390" spans="1:26" customHeight="1" ht="36" hidden="true" outlineLevel="2">
      <c r="A6390" s="2" t="s">
        <v>12089</v>
      </c>
      <c r="B6390" s="3" t="s">
        <v>12090</v>
      </c>
      <c r="C6390" s="2"/>
      <c r="D6390" s="2" t="s">
        <v>16</v>
      </c>
      <c r="E6390" s="4">
        <f>102.77*(1-Z1%)</f>
        <v>102.77</v>
      </c>
      <c r="F6390" s="2">
        <v>3</v>
      </c>
      <c r="G6390" s="2"/>
    </row>
    <row r="6391" spans="1:26" customHeight="1" ht="36" hidden="true" outlineLevel="2">
      <c r="A6391" s="2" t="s">
        <v>12091</v>
      </c>
      <c r="B6391" s="3" t="s">
        <v>12092</v>
      </c>
      <c r="C6391" s="2"/>
      <c r="D6391" s="2" t="s">
        <v>16</v>
      </c>
      <c r="E6391" s="4">
        <f>121.67*(1-Z1%)</f>
        <v>121.67</v>
      </c>
      <c r="F6391" s="2">
        <v>21</v>
      </c>
      <c r="G6391" s="2"/>
    </row>
    <row r="6392" spans="1:26" customHeight="1" ht="35" hidden="true" outlineLevel="2">
      <c r="A6392" s="5" t="s">
        <v>12093</v>
      </c>
      <c r="B6392" s="5"/>
      <c r="C6392" s="5"/>
      <c r="D6392" s="5"/>
      <c r="E6392" s="5"/>
      <c r="F6392" s="5"/>
      <c r="G6392" s="5"/>
    </row>
    <row r="6393" spans="1:26" customHeight="1" ht="36" hidden="true" outlineLevel="2">
      <c r="A6393" s="2" t="s">
        <v>12094</v>
      </c>
      <c r="B6393" s="3" t="s">
        <v>12095</v>
      </c>
      <c r="C6393" s="2"/>
      <c r="D6393" s="2" t="s">
        <v>16</v>
      </c>
      <c r="E6393" s="4">
        <f>983.82*(1-Z1%)</f>
        <v>983.82</v>
      </c>
      <c r="F6393" s="2">
        <v>1</v>
      </c>
      <c r="G6393" s="2"/>
    </row>
    <row r="6394" spans="1:26" customHeight="1" ht="36" hidden="true" outlineLevel="2">
      <c r="A6394" s="2" t="s">
        <v>12096</v>
      </c>
      <c r="B6394" s="3" t="s">
        <v>12097</v>
      </c>
      <c r="C6394" s="2"/>
      <c r="D6394" s="2" t="s">
        <v>16</v>
      </c>
      <c r="E6394" s="4">
        <f>1144.69*(1-Z1%)</f>
        <v>1144.69</v>
      </c>
      <c r="F6394" s="2">
        <v>1</v>
      </c>
      <c r="G6394" s="2"/>
    </row>
    <row r="6395" spans="1:26" customHeight="1" ht="35" hidden="true" outlineLevel="2">
      <c r="A6395" s="5" t="s">
        <v>12098</v>
      </c>
      <c r="B6395" s="5"/>
      <c r="C6395" s="5"/>
      <c r="D6395" s="5"/>
      <c r="E6395" s="5"/>
      <c r="F6395" s="5"/>
      <c r="G6395" s="5"/>
    </row>
    <row r="6396" spans="1:26" customHeight="1" ht="36" hidden="true" outlineLevel="2">
      <c r="A6396" s="2" t="s">
        <v>12099</v>
      </c>
      <c r="B6396" s="3" t="s">
        <v>12100</v>
      </c>
      <c r="C6396" s="2"/>
      <c r="D6396" s="2" t="s">
        <v>16</v>
      </c>
      <c r="E6396" s="4">
        <f>624.94*(1-Z1%)</f>
        <v>624.94</v>
      </c>
      <c r="F6396" s="2">
        <v>1</v>
      </c>
      <c r="G6396" s="2"/>
    </row>
    <row r="6397" spans="1:26" customHeight="1" ht="35">
      <c r="A6397" s="1" t="s">
        <v>12101</v>
      </c>
      <c r="B6397" s="1"/>
      <c r="C6397" s="1"/>
      <c r="D6397" s="1"/>
      <c r="E6397" s="1"/>
      <c r="F6397" s="1"/>
      <c r="G6397" s="1"/>
    </row>
    <row r="6398" spans="1:26" customHeight="1" ht="35" hidden="true" outlineLevel="2">
      <c r="A6398" s="5" t="s">
        <v>12102</v>
      </c>
      <c r="B6398" s="5"/>
      <c r="C6398" s="5"/>
      <c r="D6398" s="5"/>
      <c r="E6398" s="5"/>
      <c r="F6398" s="5"/>
      <c r="G6398" s="5"/>
    </row>
    <row r="6399" spans="1:26" customHeight="1" ht="18" hidden="true" outlineLevel="2">
      <c r="A6399" s="2" t="s">
        <v>12103</v>
      </c>
      <c r="B6399" s="3" t="s">
        <v>12104</v>
      </c>
      <c r="C6399" s="2"/>
      <c r="D6399" s="2" t="s">
        <v>16</v>
      </c>
      <c r="E6399" s="4">
        <f>63.07*(1-Z1%)</f>
        <v>63.07</v>
      </c>
      <c r="F6399" s="2">
        <v>6</v>
      </c>
      <c r="G6399" s="2"/>
    </row>
    <row r="6400" spans="1:26" customHeight="1" ht="18" hidden="true" outlineLevel="2">
      <c r="A6400" s="2" t="s">
        <v>12105</v>
      </c>
      <c r="B6400" s="3" t="s">
        <v>12106</v>
      </c>
      <c r="C6400" s="2"/>
      <c r="D6400" s="2" t="s">
        <v>16</v>
      </c>
      <c r="E6400" s="4">
        <f>43.88*(1-Z1%)</f>
        <v>43.88</v>
      </c>
      <c r="F6400" s="2">
        <v>2</v>
      </c>
      <c r="G6400" s="2"/>
    </row>
    <row r="6401" spans="1:26" customHeight="1" ht="18" hidden="true" outlineLevel="2">
      <c r="A6401" s="2" t="s">
        <v>12107</v>
      </c>
      <c r="B6401" s="3" t="s">
        <v>12108</v>
      </c>
      <c r="C6401" s="2"/>
      <c r="D6401" s="2" t="s">
        <v>16</v>
      </c>
      <c r="E6401" s="4">
        <f>69.03*(1-Z1%)</f>
        <v>69.03</v>
      </c>
      <c r="F6401" s="2">
        <v>4</v>
      </c>
      <c r="G6401" s="2"/>
    </row>
    <row r="6402" spans="1:26" customHeight="1" ht="18" hidden="true" outlineLevel="2">
      <c r="A6402" s="2" t="s">
        <v>12109</v>
      </c>
      <c r="B6402" s="3" t="s">
        <v>12110</v>
      </c>
      <c r="C6402" s="2"/>
      <c r="D6402" s="2" t="s">
        <v>16</v>
      </c>
      <c r="E6402" s="4">
        <f>45.90*(1-Z1%)</f>
        <v>45.9</v>
      </c>
      <c r="F6402" s="2">
        <v>29</v>
      </c>
      <c r="G6402" s="2"/>
    </row>
    <row r="6403" spans="1:26" customHeight="1" ht="18" hidden="true" outlineLevel="2">
      <c r="A6403" s="2" t="s">
        <v>12111</v>
      </c>
      <c r="B6403" s="3" t="s">
        <v>12112</v>
      </c>
      <c r="C6403" s="2"/>
      <c r="D6403" s="2" t="s">
        <v>16</v>
      </c>
      <c r="E6403" s="4">
        <f>21.38*(1-Z1%)</f>
        <v>21.38</v>
      </c>
      <c r="F6403" s="2">
        <v>1</v>
      </c>
      <c r="G6403" s="2"/>
    </row>
    <row r="6404" spans="1:26" customHeight="1" ht="18" hidden="true" outlineLevel="2">
      <c r="A6404" s="2" t="s">
        <v>12113</v>
      </c>
      <c r="B6404" s="3" t="s">
        <v>12114</v>
      </c>
      <c r="C6404" s="2"/>
      <c r="D6404" s="2" t="s">
        <v>16</v>
      </c>
      <c r="E6404" s="4">
        <f>55.13*(1-Z1%)</f>
        <v>55.13</v>
      </c>
      <c r="F6404" s="2">
        <v>5</v>
      </c>
      <c r="G6404" s="2"/>
    </row>
    <row r="6405" spans="1:26" customHeight="1" ht="36" hidden="true" outlineLevel="2">
      <c r="A6405" s="2" t="s">
        <v>12115</v>
      </c>
      <c r="B6405" s="3" t="s">
        <v>12116</v>
      </c>
      <c r="C6405" s="2"/>
      <c r="D6405" s="2" t="s">
        <v>16</v>
      </c>
      <c r="E6405" s="4">
        <f>11.48*(1-Z1%)</f>
        <v>11.48</v>
      </c>
      <c r="F6405" s="2">
        <v>84</v>
      </c>
      <c r="G6405" s="2"/>
    </row>
    <row r="6406" spans="1:26" customHeight="1" ht="18" hidden="true" outlineLevel="2">
      <c r="A6406" s="2" t="s">
        <v>12117</v>
      </c>
      <c r="B6406" s="3" t="s">
        <v>12118</v>
      </c>
      <c r="C6406" s="2"/>
      <c r="D6406" s="2" t="s">
        <v>16</v>
      </c>
      <c r="E6406" s="4">
        <f>12.63*(1-Z1%)</f>
        <v>12.63</v>
      </c>
      <c r="F6406" s="2">
        <v>14</v>
      </c>
      <c r="G6406" s="2"/>
    </row>
    <row r="6407" spans="1:26" customHeight="1" ht="18" hidden="true" outlineLevel="2">
      <c r="A6407" s="2" t="s">
        <v>12119</v>
      </c>
      <c r="B6407" s="3" t="s">
        <v>12120</v>
      </c>
      <c r="C6407" s="2"/>
      <c r="D6407" s="2" t="s">
        <v>16</v>
      </c>
      <c r="E6407" s="4">
        <f>17.22*(1-Z1%)</f>
        <v>17.22</v>
      </c>
      <c r="F6407" s="2">
        <v>49</v>
      </c>
      <c r="G6407" s="2"/>
    </row>
    <row r="6408" spans="1:26" customHeight="1" ht="35" hidden="true" outlineLevel="2">
      <c r="A6408" s="5" t="s">
        <v>12121</v>
      </c>
      <c r="B6408" s="5"/>
      <c r="C6408" s="5"/>
      <c r="D6408" s="5"/>
      <c r="E6408" s="5"/>
      <c r="F6408" s="5"/>
      <c r="G6408" s="5"/>
    </row>
    <row r="6409" spans="1:26" customHeight="1" ht="35" hidden="true" outlineLevel="3">
      <c r="A6409" s="5" t="s">
        <v>12122</v>
      </c>
      <c r="B6409" s="5"/>
      <c r="C6409" s="5"/>
      <c r="D6409" s="5"/>
      <c r="E6409" s="5"/>
      <c r="F6409" s="5"/>
      <c r="G6409" s="5"/>
    </row>
    <row r="6410" spans="1:26" customHeight="1" ht="18" hidden="true" outlineLevel="3">
      <c r="A6410" s="2" t="s">
        <v>12123</v>
      </c>
      <c r="B6410" s="3" t="s">
        <v>12124</v>
      </c>
      <c r="C6410" s="2"/>
      <c r="D6410" s="2" t="s">
        <v>16</v>
      </c>
      <c r="E6410" s="4">
        <f>299.61*(1-Z1%)</f>
        <v>299.61</v>
      </c>
      <c r="F6410" s="2">
        <v>1</v>
      </c>
      <c r="G6410" s="2"/>
    </row>
    <row r="6411" spans="1:26" customHeight="1" ht="18" hidden="true" outlineLevel="3">
      <c r="A6411" s="2" t="s">
        <v>12125</v>
      </c>
      <c r="B6411" s="3" t="s">
        <v>12126</v>
      </c>
      <c r="C6411" s="2"/>
      <c r="D6411" s="2" t="s">
        <v>16</v>
      </c>
      <c r="E6411" s="4">
        <f>265.88*(1-Z1%)</f>
        <v>265.88</v>
      </c>
      <c r="F6411" s="2">
        <v>2</v>
      </c>
      <c r="G6411" s="2"/>
    </row>
    <row r="6412" spans="1:26" customHeight="1" ht="36" hidden="true" outlineLevel="3">
      <c r="A6412" s="2" t="s">
        <v>12127</v>
      </c>
      <c r="B6412" s="3" t="s">
        <v>12128</v>
      </c>
      <c r="C6412" s="2"/>
      <c r="D6412" s="2" t="s">
        <v>16</v>
      </c>
      <c r="E6412" s="4">
        <f>533.75*(1-Z1%)</f>
        <v>533.75</v>
      </c>
      <c r="F6412" s="2">
        <v>2</v>
      </c>
      <c r="G6412" s="2"/>
    </row>
    <row r="6413" spans="1:26" customHeight="1" ht="35" hidden="true" outlineLevel="3">
      <c r="A6413" s="5" t="s">
        <v>12129</v>
      </c>
      <c r="B6413" s="5"/>
      <c r="C6413" s="5"/>
      <c r="D6413" s="5"/>
      <c r="E6413" s="5"/>
      <c r="F6413" s="5"/>
      <c r="G6413" s="5"/>
    </row>
    <row r="6414" spans="1:26" customHeight="1" ht="36" hidden="true" outlineLevel="3">
      <c r="A6414" s="2" t="s">
        <v>12130</v>
      </c>
      <c r="B6414" s="3" t="s">
        <v>12131</v>
      </c>
      <c r="C6414" s="2"/>
      <c r="D6414" s="2" t="s">
        <v>16</v>
      </c>
      <c r="E6414" s="4">
        <f>333.68*(1-Z1%)</f>
        <v>333.68</v>
      </c>
      <c r="F6414" s="2">
        <v>4</v>
      </c>
      <c r="G6414" s="2"/>
    </row>
    <row r="6415" spans="1:26" customHeight="1" ht="36" hidden="true" outlineLevel="3">
      <c r="A6415" s="2" t="s">
        <v>12132</v>
      </c>
      <c r="B6415" s="3" t="s">
        <v>12133</v>
      </c>
      <c r="C6415" s="2"/>
      <c r="D6415" s="2" t="s">
        <v>16</v>
      </c>
      <c r="E6415" s="4">
        <f>255.96*(1-Z1%)</f>
        <v>255.96</v>
      </c>
      <c r="F6415" s="2">
        <v>1</v>
      </c>
      <c r="G6415" s="2"/>
    </row>
    <row r="6416" spans="1:26" customHeight="1" ht="35" hidden="true" outlineLevel="2">
      <c r="A6416" s="5" t="s">
        <v>12134</v>
      </c>
      <c r="B6416" s="5"/>
      <c r="C6416" s="5"/>
      <c r="D6416" s="5"/>
      <c r="E6416" s="5"/>
      <c r="F6416" s="5"/>
      <c r="G6416" s="5"/>
    </row>
    <row r="6417" spans="1:26" customHeight="1" ht="18" hidden="true" outlineLevel="2">
      <c r="A6417" s="2" t="s">
        <v>12135</v>
      </c>
      <c r="B6417" s="3" t="s">
        <v>12136</v>
      </c>
      <c r="C6417" s="2"/>
      <c r="D6417" s="2" t="s">
        <v>16</v>
      </c>
      <c r="E6417" s="4">
        <f>392.66*(1-Z1%)</f>
        <v>392.66</v>
      </c>
      <c r="F6417" s="2">
        <v>1</v>
      </c>
      <c r="G6417" s="2"/>
    </row>
    <row r="6418" spans="1:26" customHeight="1" ht="18" hidden="true" outlineLevel="2">
      <c r="A6418" s="2" t="s">
        <v>12137</v>
      </c>
      <c r="B6418" s="3" t="s">
        <v>12138</v>
      </c>
      <c r="C6418" s="2"/>
      <c r="D6418" s="2" t="s">
        <v>16</v>
      </c>
      <c r="E6418" s="4">
        <f>155.21*(1-Z1%)</f>
        <v>155.21</v>
      </c>
      <c r="F6418" s="2">
        <v>8</v>
      </c>
      <c r="G6418" s="2"/>
    </row>
    <row r="6419" spans="1:26" customHeight="1" ht="35" hidden="true" outlineLevel="2">
      <c r="A6419" s="5" t="s">
        <v>12139</v>
      </c>
      <c r="B6419" s="5"/>
      <c r="C6419" s="5"/>
      <c r="D6419" s="5"/>
      <c r="E6419" s="5"/>
      <c r="F6419" s="5"/>
      <c r="G6419" s="5"/>
    </row>
    <row r="6420" spans="1:26" customHeight="1" ht="35" hidden="true" outlineLevel="3">
      <c r="A6420" s="5" t="s">
        <v>12140</v>
      </c>
      <c r="B6420" s="5"/>
      <c r="C6420" s="5"/>
      <c r="D6420" s="5"/>
      <c r="E6420" s="5"/>
      <c r="F6420" s="5"/>
      <c r="G6420" s="5"/>
    </row>
    <row r="6421" spans="1:26" customHeight="1" ht="18" hidden="true" outlineLevel="3">
      <c r="A6421" s="2" t="s">
        <v>12141</v>
      </c>
      <c r="B6421" s="3" t="s">
        <v>12142</v>
      </c>
      <c r="C6421" s="2"/>
      <c r="D6421" s="2" t="s">
        <v>16</v>
      </c>
      <c r="E6421" s="4">
        <f>420.47*(1-Z1%)</f>
        <v>420.47</v>
      </c>
      <c r="F6421" s="2">
        <v>1</v>
      </c>
      <c r="G6421" s="2"/>
    </row>
    <row r="6422" spans="1:26" customHeight="1" ht="18" hidden="true" outlineLevel="3">
      <c r="A6422" s="2" t="s">
        <v>12143</v>
      </c>
      <c r="B6422" s="3" t="s">
        <v>12144</v>
      </c>
      <c r="C6422" s="2"/>
      <c r="D6422" s="2" t="s">
        <v>16</v>
      </c>
      <c r="E6422" s="4">
        <f>233.42*(1-Z1%)</f>
        <v>233.42</v>
      </c>
      <c r="F6422" s="2">
        <v>1</v>
      </c>
      <c r="G6422" s="2"/>
    </row>
    <row r="6423" spans="1:26" customHeight="1" ht="18" hidden="true" outlineLevel="3">
      <c r="A6423" s="2" t="s">
        <v>12145</v>
      </c>
      <c r="B6423" s="3" t="s">
        <v>12146</v>
      </c>
      <c r="C6423" s="2"/>
      <c r="D6423" s="2" t="s">
        <v>16</v>
      </c>
      <c r="E6423" s="4">
        <f>160.74*(1-Z1%)</f>
        <v>160.74</v>
      </c>
      <c r="F6423" s="2">
        <v>2</v>
      </c>
      <c r="G6423" s="2"/>
    </row>
    <row r="6424" spans="1:26" customHeight="1" ht="18" hidden="true" outlineLevel="3">
      <c r="A6424" s="2" t="s">
        <v>12147</v>
      </c>
      <c r="B6424" s="3" t="s">
        <v>12148</v>
      </c>
      <c r="C6424" s="2"/>
      <c r="D6424" s="2" t="s">
        <v>16</v>
      </c>
      <c r="E6424" s="4">
        <f>267.80*(1-Z1%)</f>
        <v>267.8</v>
      </c>
      <c r="F6424" s="2">
        <v>5</v>
      </c>
      <c r="G6424" s="2"/>
    </row>
    <row r="6425" spans="1:26" customHeight="1" ht="36" hidden="true" outlineLevel="3">
      <c r="A6425" s="2" t="s">
        <v>12149</v>
      </c>
      <c r="B6425" s="3" t="s">
        <v>12150</v>
      </c>
      <c r="C6425" s="2"/>
      <c r="D6425" s="2" t="s">
        <v>16</v>
      </c>
      <c r="E6425" s="4">
        <f>198.68*(1-Z1%)</f>
        <v>198.68</v>
      </c>
      <c r="F6425" s="2">
        <v>6</v>
      </c>
      <c r="G6425" s="2"/>
    </row>
    <row r="6426" spans="1:26" customHeight="1" ht="36" hidden="true" outlineLevel="3">
      <c r="A6426" s="2" t="s">
        <v>12151</v>
      </c>
      <c r="B6426" s="3" t="s">
        <v>12152</v>
      </c>
      <c r="C6426" s="2"/>
      <c r="D6426" s="2" t="s">
        <v>16</v>
      </c>
      <c r="E6426" s="4">
        <f>199.86*(1-Z1%)</f>
        <v>199.86</v>
      </c>
      <c r="F6426" s="2">
        <v>5</v>
      </c>
      <c r="G6426" s="2"/>
    </row>
    <row r="6427" spans="1:26" customHeight="1" ht="36" hidden="true" outlineLevel="3">
      <c r="A6427" s="2" t="s">
        <v>12153</v>
      </c>
      <c r="B6427" s="3" t="s">
        <v>12154</v>
      </c>
      <c r="C6427" s="2"/>
      <c r="D6427" s="2" t="s">
        <v>16</v>
      </c>
      <c r="E6427" s="4">
        <f>170.47*(1-Z1%)</f>
        <v>170.47</v>
      </c>
      <c r="F6427" s="2">
        <v>4</v>
      </c>
      <c r="G6427" s="2"/>
    </row>
    <row r="6428" spans="1:26" customHeight="1" ht="18" hidden="true" outlineLevel="3">
      <c r="A6428" s="2" t="s">
        <v>12155</v>
      </c>
      <c r="B6428" s="3" t="s">
        <v>12156</v>
      </c>
      <c r="C6428" s="2"/>
      <c r="D6428" s="2" t="s">
        <v>16</v>
      </c>
      <c r="E6428" s="4">
        <f>258.64*(1-Z1%)</f>
        <v>258.64</v>
      </c>
      <c r="F6428" s="2">
        <v>5</v>
      </c>
      <c r="G6428" s="2"/>
    </row>
    <row r="6429" spans="1:26" customHeight="1" ht="36" hidden="true" outlineLevel="3">
      <c r="A6429" s="2" t="s">
        <v>12157</v>
      </c>
      <c r="B6429" s="3" t="s">
        <v>12158</v>
      </c>
      <c r="C6429" s="2"/>
      <c r="D6429" s="2" t="s">
        <v>16</v>
      </c>
      <c r="E6429" s="4">
        <f>229.25*(1-Z1%)</f>
        <v>229.25</v>
      </c>
      <c r="F6429" s="2">
        <v>6</v>
      </c>
      <c r="G6429" s="2"/>
    </row>
    <row r="6430" spans="1:26" customHeight="1" ht="36" hidden="true" outlineLevel="3">
      <c r="A6430" s="2" t="s">
        <v>12159</v>
      </c>
      <c r="B6430" s="3" t="s">
        <v>12160</v>
      </c>
      <c r="C6430" s="2"/>
      <c r="D6430" s="2" t="s">
        <v>16</v>
      </c>
      <c r="E6430" s="4">
        <f>523.15*(1-Z1%)</f>
        <v>523.15</v>
      </c>
      <c r="F6430" s="2">
        <v>4</v>
      </c>
      <c r="G6430" s="2"/>
    </row>
    <row r="6431" spans="1:26" customHeight="1" ht="36" hidden="true" outlineLevel="3">
      <c r="A6431" s="2" t="s">
        <v>12161</v>
      </c>
      <c r="B6431" s="3" t="s">
        <v>12162</v>
      </c>
      <c r="C6431" s="2"/>
      <c r="D6431" s="2" t="s">
        <v>16</v>
      </c>
      <c r="E6431" s="4">
        <f>523.15*(1-Z1%)</f>
        <v>523.15</v>
      </c>
      <c r="F6431" s="2">
        <v>5</v>
      </c>
      <c r="G6431" s="2"/>
    </row>
    <row r="6432" spans="1:26" customHeight="1" ht="18" hidden="true" outlineLevel="3">
      <c r="A6432" s="2" t="s">
        <v>12163</v>
      </c>
      <c r="B6432" s="3" t="s">
        <v>12164</v>
      </c>
      <c r="C6432" s="2"/>
      <c r="D6432" s="2" t="s">
        <v>16</v>
      </c>
      <c r="E6432" s="4">
        <f>256.50*(1-Z1%)</f>
        <v>256.5</v>
      </c>
      <c r="F6432" s="2">
        <v>4</v>
      </c>
      <c r="G6432" s="2"/>
    </row>
    <row r="6433" spans="1:26" customHeight="1" ht="36" hidden="true" outlineLevel="3">
      <c r="A6433" s="2" t="s">
        <v>12165</v>
      </c>
      <c r="B6433" s="3" t="s">
        <v>12166</v>
      </c>
      <c r="C6433" s="2"/>
      <c r="D6433" s="2" t="s">
        <v>16</v>
      </c>
      <c r="E6433" s="4">
        <f>741.83*(1-Z1%)</f>
        <v>741.83</v>
      </c>
      <c r="F6433" s="2">
        <v>1</v>
      </c>
      <c r="G6433" s="2"/>
    </row>
    <row r="6434" spans="1:26" customHeight="1" ht="18" hidden="true" outlineLevel="3">
      <c r="A6434" s="2" t="s">
        <v>12167</v>
      </c>
      <c r="B6434" s="3" t="s">
        <v>12168</v>
      </c>
      <c r="C6434" s="2"/>
      <c r="D6434" s="2" t="s">
        <v>16</v>
      </c>
      <c r="E6434" s="4">
        <f>442.12*(1-Z1%)</f>
        <v>442.12</v>
      </c>
      <c r="F6434" s="2">
        <v>5</v>
      </c>
      <c r="G6434" s="2"/>
    </row>
    <row r="6435" spans="1:26" customHeight="1" ht="36" hidden="true" outlineLevel="3">
      <c r="A6435" s="2" t="s">
        <v>12169</v>
      </c>
      <c r="B6435" s="3" t="s">
        <v>12170</v>
      </c>
      <c r="C6435" s="2"/>
      <c r="D6435" s="2" t="s">
        <v>16</v>
      </c>
      <c r="E6435" s="4">
        <f>321.14*(1-Z1%)</f>
        <v>321.14</v>
      </c>
      <c r="F6435" s="2">
        <v>9</v>
      </c>
      <c r="G6435" s="2"/>
    </row>
    <row r="6436" spans="1:26" customHeight="1" ht="36" hidden="true" outlineLevel="3">
      <c r="A6436" s="2" t="s">
        <v>12171</v>
      </c>
      <c r="B6436" s="3" t="s">
        <v>12172</v>
      </c>
      <c r="C6436" s="2"/>
      <c r="D6436" s="2" t="s">
        <v>16</v>
      </c>
      <c r="E6436" s="4">
        <f>353.46*(1-Z1%)</f>
        <v>353.46</v>
      </c>
      <c r="F6436" s="2">
        <v>7</v>
      </c>
      <c r="G6436" s="2"/>
    </row>
    <row r="6437" spans="1:26" customHeight="1" ht="36" hidden="true" outlineLevel="3">
      <c r="A6437" s="2" t="s">
        <v>12173</v>
      </c>
      <c r="B6437" s="3" t="s">
        <v>12174</v>
      </c>
      <c r="C6437" s="2"/>
      <c r="D6437" s="2" t="s">
        <v>16</v>
      </c>
      <c r="E6437" s="4">
        <f>391.01*(1-Z1%)</f>
        <v>391.01</v>
      </c>
      <c r="F6437" s="2">
        <v>3</v>
      </c>
      <c r="G6437" s="2"/>
    </row>
    <row r="6438" spans="1:26" customHeight="1" ht="36" hidden="true" outlineLevel="3">
      <c r="A6438" s="2" t="s">
        <v>12175</v>
      </c>
      <c r="B6438" s="3" t="s">
        <v>12176</v>
      </c>
      <c r="C6438" s="2"/>
      <c r="D6438" s="2" t="s">
        <v>16</v>
      </c>
      <c r="E6438" s="4">
        <f>306.60*(1-Z1%)</f>
        <v>306.6</v>
      </c>
      <c r="F6438" s="2">
        <v>2</v>
      </c>
      <c r="G6438" s="2"/>
    </row>
    <row r="6439" spans="1:26" customHeight="1" ht="18" hidden="true" outlineLevel="3">
      <c r="A6439" s="2" t="s">
        <v>12177</v>
      </c>
      <c r="B6439" s="3" t="s">
        <v>12178</v>
      </c>
      <c r="C6439" s="2"/>
      <c r="D6439" s="2" t="s">
        <v>16</v>
      </c>
      <c r="E6439" s="4">
        <f>298.29*(1-Z1%)</f>
        <v>298.29</v>
      </c>
      <c r="F6439" s="2">
        <v>5</v>
      </c>
      <c r="G6439" s="2"/>
    </row>
    <row r="6440" spans="1:26" customHeight="1" ht="18" hidden="true" outlineLevel="3">
      <c r="A6440" s="2" t="s">
        <v>12179</v>
      </c>
      <c r="B6440" s="3" t="s">
        <v>12180</v>
      </c>
      <c r="C6440" s="2"/>
      <c r="D6440" s="2" t="s">
        <v>16</v>
      </c>
      <c r="E6440" s="4">
        <f>952.09*(1-Z1%)</f>
        <v>952.09</v>
      </c>
      <c r="F6440" s="2">
        <v>2</v>
      </c>
      <c r="G6440" s="2"/>
    </row>
    <row r="6441" spans="1:26" customHeight="1" ht="18" hidden="true" outlineLevel="3">
      <c r="A6441" s="2" t="s">
        <v>12181</v>
      </c>
      <c r="B6441" s="3" t="s">
        <v>12182</v>
      </c>
      <c r="C6441" s="2"/>
      <c r="D6441" s="2" t="s">
        <v>16</v>
      </c>
      <c r="E6441" s="4">
        <f>731.25*(1-Z1%)</f>
        <v>731.25</v>
      </c>
      <c r="F6441" s="2">
        <v>2</v>
      </c>
      <c r="G6441" s="2"/>
    </row>
    <row r="6442" spans="1:26" customHeight="1" ht="18" hidden="true" outlineLevel="3">
      <c r="A6442" s="2" t="s">
        <v>12183</v>
      </c>
      <c r="B6442" s="3" t="s">
        <v>12184</v>
      </c>
      <c r="C6442" s="2"/>
      <c r="D6442" s="2" t="s">
        <v>16</v>
      </c>
      <c r="E6442" s="4">
        <f>732.55*(1-Z1%)</f>
        <v>732.55</v>
      </c>
      <c r="F6442" s="2">
        <v>1</v>
      </c>
      <c r="G6442" s="2"/>
    </row>
    <row r="6443" spans="1:26" customHeight="1" ht="18" hidden="true" outlineLevel="3">
      <c r="A6443" s="2" t="s">
        <v>12185</v>
      </c>
      <c r="B6443" s="3" t="s">
        <v>12186</v>
      </c>
      <c r="C6443" s="2"/>
      <c r="D6443" s="2" t="s">
        <v>16</v>
      </c>
      <c r="E6443" s="4">
        <f>661.27*(1-Z1%)</f>
        <v>661.27</v>
      </c>
      <c r="F6443" s="2">
        <v>2</v>
      </c>
      <c r="G6443" s="2"/>
    </row>
    <row r="6444" spans="1:26" customHeight="1" ht="18" hidden="true" outlineLevel="3">
      <c r="A6444" s="2" t="s">
        <v>12187</v>
      </c>
      <c r="B6444" s="3" t="s">
        <v>12188</v>
      </c>
      <c r="C6444" s="2"/>
      <c r="D6444" s="2" t="s">
        <v>16</v>
      </c>
      <c r="E6444" s="4">
        <f>531.57*(1-Z1%)</f>
        <v>531.57</v>
      </c>
      <c r="F6444" s="2">
        <v>6</v>
      </c>
      <c r="G6444" s="2"/>
    </row>
    <row r="6445" spans="1:26" customHeight="1" ht="18" hidden="true" outlineLevel="3">
      <c r="A6445" s="2" t="s">
        <v>12189</v>
      </c>
      <c r="B6445" s="3" t="s">
        <v>12190</v>
      </c>
      <c r="C6445" s="2"/>
      <c r="D6445" s="2" t="s">
        <v>16</v>
      </c>
      <c r="E6445" s="4">
        <f>474.12*(1-Z1%)</f>
        <v>474.12</v>
      </c>
      <c r="F6445" s="2">
        <v>5</v>
      </c>
      <c r="G6445" s="2"/>
    </row>
    <row r="6446" spans="1:26" customHeight="1" ht="18" hidden="true" outlineLevel="3">
      <c r="A6446" s="2" t="s">
        <v>12191</v>
      </c>
      <c r="B6446" s="3" t="s">
        <v>12192</v>
      </c>
      <c r="C6446" s="2"/>
      <c r="D6446" s="2" t="s">
        <v>16</v>
      </c>
      <c r="E6446" s="4">
        <f>457.20*(1-Z1%)</f>
        <v>457.2</v>
      </c>
      <c r="F6446" s="2">
        <v>4</v>
      </c>
      <c r="G6446" s="2"/>
    </row>
    <row r="6447" spans="1:26" customHeight="1" ht="18" hidden="true" outlineLevel="3">
      <c r="A6447" s="2" t="s">
        <v>12193</v>
      </c>
      <c r="B6447" s="3" t="s">
        <v>12194</v>
      </c>
      <c r="C6447" s="2"/>
      <c r="D6447" s="2" t="s">
        <v>16</v>
      </c>
      <c r="E6447" s="4">
        <f>474.12*(1-Z1%)</f>
        <v>474.12</v>
      </c>
      <c r="F6447" s="2">
        <v>4</v>
      </c>
      <c r="G6447" s="2"/>
    </row>
    <row r="6448" spans="1:26" customHeight="1" ht="18" hidden="true" outlineLevel="3">
      <c r="A6448" s="2" t="s">
        <v>12195</v>
      </c>
      <c r="B6448" s="3" t="s">
        <v>12196</v>
      </c>
      <c r="C6448" s="2"/>
      <c r="D6448" s="2" t="s">
        <v>16</v>
      </c>
      <c r="E6448" s="4">
        <f>246.79*(1-Z1%)</f>
        <v>246.79</v>
      </c>
      <c r="F6448" s="2">
        <v>4</v>
      </c>
      <c r="G6448" s="2"/>
    </row>
    <row r="6449" spans="1:26" customHeight="1" ht="18" hidden="true" outlineLevel="3">
      <c r="A6449" s="2" t="s">
        <v>12197</v>
      </c>
      <c r="B6449" s="3" t="s">
        <v>12198</v>
      </c>
      <c r="C6449" s="2"/>
      <c r="D6449" s="2" t="s">
        <v>16</v>
      </c>
      <c r="E6449" s="4">
        <f>118.85*(1-Z1%)</f>
        <v>118.85</v>
      </c>
      <c r="F6449" s="2">
        <v>6</v>
      </c>
      <c r="G6449" s="2"/>
    </row>
    <row r="6450" spans="1:26" customHeight="1" ht="18" hidden="true" outlineLevel="3">
      <c r="A6450" s="2" t="s">
        <v>12199</v>
      </c>
      <c r="B6450" s="3" t="s">
        <v>12200</v>
      </c>
      <c r="C6450" s="2"/>
      <c r="D6450" s="2" t="s">
        <v>16</v>
      </c>
      <c r="E6450" s="4">
        <f>278.15*(1-Z1%)</f>
        <v>278.15</v>
      </c>
      <c r="F6450" s="2">
        <v>8</v>
      </c>
      <c r="G6450" s="2"/>
    </row>
    <row r="6451" spans="1:26" customHeight="1" ht="35" hidden="true" outlineLevel="3">
      <c r="A6451" s="5" t="s">
        <v>12201</v>
      </c>
      <c r="B6451" s="5"/>
      <c r="C6451" s="5"/>
      <c r="D6451" s="5"/>
      <c r="E6451" s="5"/>
      <c r="F6451" s="5"/>
      <c r="G6451" s="5"/>
    </row>
    <row r="6452" spans="1:26" customHeight="1" ht="36" hidden="true" outlineLevel="3">
      <c r="A6452" s="2" t="s">
        <v>12202</v>
      </c>
      <c r="B6452" s="3" t="s">
        <v>12203</v>
      </c>
      <c r="C6452" s="2"/>
      <c r="D6452" s="2" t="s">
        <v>16</v>
      </c>
      <c r="E6452" s="4">
        <f>1423.13*(1-Z1%)</f>
        <v>1423.13</v>
      </c>
      <c r="F6452" s="2">
        <v>2</v>
      </c>
      <c r="G6452" s="2"/>
    </row>
    <row r="6453" spans="1:26" customHeight="1" ht="35" hidden="true" outlineLevel="3">
      <c r="A6453" s="5" t="s">
        <v>12204</v>
      </c>
      <c r="B6453" s="5"/>
      <c r="C6453" s="5"/>
      <c r="D6453" s="5"/>
      <c r="E6453" s="5"/>
      <c r="F6453" s="5"/>
      <c r="G6453" s="5"/>
    </row>
    <row r="6454" spans="1:26" customHeight="1" ht="18" hidden="true" outlineLevel="3">
      <c r="A6454" s="2" t="s">
        <v>12205</v>
      </c>
      <c r="B6454" s="3" t="s">
        <v>12206</v>
      </c>
      <c r="C6454" s="2"/>
      <c r="D6454" s="2" t="s">
        <v>16</v>
      </c>
      <c r="E6454" s="4">
        <f>196.55*(1-Z1%)</f>
        <v>196.55</v>
      </c>
      <c r="F6454" s="2">
        <v>3</v>
      </c>
      <c r="G6454" s="2"/>
    </row>
    <row r="6455" spans="1:26" customHeight="1" ht="36" hidden="true" outlineLevel="3">
      <c r="A6455" s="2" t="s">
        <v>12207</v>
      </c>
      <c r="B6455" s="3" t="s">
        <v>12208</v>
      </c>
      <c r="C6455" s="2"/>
      <c r="D6455" s="2" t="s">
        <v>16</v>
      </c>
      <c r="E6455" s="4">
        <f>229.24*(1-Z1%)</f>
        <v>229.24</v>
      </c>
      <c r="F6455" s="2">
        <v>1</v>
      </c>
      <c r="G6455" s="2"/>
    </row>
    <row r="6456" spans="1:26" customHeight="1" ht="36" hidden="true" outlineLevel="3">
      <c r="A6456" s="2" t="s">
        <v>12209</v>
      </c>
      <c r="B6456" s="3" t="s">
        <v>12210</v>
      </c>
      <c r="C6456" s="2"/>
      <c r="D6456" s="2" t="s">
        <v>16</v>
      </c>
      <c r="E6456" s="4">
        <f>154.85*(1-Z1%)</f>
        <v>154.85</v>
      </c>
      <c r="F6456" s="2">
        <v>3</v>
      </c>
      <c r="G6456" s="2"/>
    </row>
    <row r="6457" spans="1:26" customHeight="1" ht="36" hidden="true" outlineLevel="3">
      <c r="A6457" s="2" t="s">
        <v>12211</v>
      </c>
      <c r="B6457" s="3" t="s">
        <v>12212</v>
      </c>
      <c r="C6457" s="2"/>
      <c r="D6457" s="2" t="s">
        <v>16</v>
      </c>
      <c r="E6457" s="4">
        <f>273.74*(1-Z1%)</f>
        <v>273.74</v>
      </c>
      <c r="F6457" s="2">
        <v>1</v>
      </c>
      <c r="G6457" s="2"/>
    </row>
    <row r="6458" spans="1:26" customHeight="1" ht="36" hidden="true" outlineLevel="3">
      <c r="A6458" s="2" t="s">
        <v>12213</v>
      </c>
      <c r="B6458" s="3" t="s">
        <v>12214</v>
      </c>
      <c r="C6458" s="2"/>
      <c r="D6458" s="2" t="s">
        <v>16</v>
      </c>
      <c r="E6458" s="4">
        <f>235.79*(1-Z1%)</f>
        <v>235.79</v>
      </c>
      <c r="F6458" s="2">
        <v>2</v>
      </c>
      <c r="G6458" s="2"/>
    </row>
    <row r="6459" spans="1:26" customHeight="1" ht="18" hidden="true" outlineLevel="3">
      <c r="A6459" s="2" t="s">
        <v>12215</v>
      </c>
      <c r="B6459" s="3" t="s">
        <v>12216</v>
      </c>
      <c r="C6459" s="2"/>
      <c r="D6459" s="2" t="s">
        <v>16</v>
      </c>
      <c r="E6459" s="4">
        <f>146.21*(1-Z1%)</f>
        <v>146.21</v>
      </c>
      <c r="F6459" s="2">
        <v>43</v>
      </c>
      <c r="G6459" s="2"/>
    </row>
    <row r="6460" spans="1:26" customHeight="1" ht="18" hidden="true" outlineLevel="3">
      <c r="A6460" s="2" t="s">
        <v>12217</v>
      </c>
      <c r="B6460" s="3" t="s">
        <v>12218</v>
      </c>
      <c r="C6460" s="2"/>
      <c r="D6460" s="2" t="s">
        <v>16</v>
      </c>
      <c r="E6460" s="4">
        <f>112.01*(1-Z1%)</f>
        <v>112.01</v>
      </c>
      <c r="F6460" s="2">
        <v>15</v>
      </c>
      <c r="G6460" s="2"/>
    </row>
    <row r="6461" spans="1:26" customHeight="1" ht="18" hidden="true" outlineLevel="3">
      <c r="A6461" s="2" t="s">
        <v>12219</v>
      </c>
      <c r="B6461" s="3" t="s">
        <v>12220</v>
      </c>
      <c r="C6461" s="2"/>
      <c r="D6461" s="2" t="s">
        <v>16</v>
      </c>
      <c r="E6461" s="4">
        <f>257.99*(1-Z1%)</f>
        <v>257.99</v>
      </c>
      <c r="F6461" s="2">
        <v>5</v>
      </c>
      <c r="G6461" s="2"/>
    </row>
    <row r="6462" spans="1:26" customHeight="1" ht="18" hidden="true" outlineLevel="3">
      <c r="A6462" s="2" t="s">
        <v>12221</v>
      </c>
      <c r="B6462" s="3" t="s">
        <v>12222</v>
      </c>
      <c r="C6462" s="2"/>
      <c r="D6462" s="2" t="s">
        <v>16</v>
      </c>
      <c r="E6462" s="4">
        <f>91.49*(1-Z1%)</f>
        <v>91.49</v>
      </c>
      <c r="F6462" s="2">
        <v>14</v>
      </c>
      <c r="G6462" s="2"/>
    </row>
    <row r="6463" spans="1:26" customHeight="1" ht="35" hidden="true" outlineLevel="2">
      <c r="A6463" s="5" t="s">
        <v>12223</v>
      </c>
      <c r="B6463" s="5"/>
      <c r="C6463" s="5"/>
      <c r="D6463" s="5"/>
      <c r="E6463" s="5"/>
      <c r="F6463" s="5"/>
      <c r="G6463" s="5"/>
    </row>
    <row r="6464" spans="1:26" customHeight="1" ht="36" hidden="true" outlineLevel="2">
      <c r="A6464" s="2" t="s">
        <v>12224</v>
      </c>
      <c r="B6464" s="3" t="s">
        <v>12225</v>
      </c>
      <c r="C6464" s="2"/>
      <c r="D6464" s="2" t="s">
        <v>16</v>
      </c>
      <c r="E6464" s="4">
        <f>353.97*(1-Z1%)</f>
        <v>353.97</v>
      </c>
      <c r="F6464" s="2">
        <v>2</v>
      </c>
      <c r="G6464" s="2"/>
    </row>
    <row r="6465" spans="1:26" customHeight="1" ht="18" hidden="true" outlineLevel="2">
      <c r="A6465" s="2" t="s">
        <v>12226</v>
      </c>
      <c r="B6465" s="3" t="s">
        <v>12227</v>
      </c>
      <c r="C6465" s="2"/>
      <c r="D6465" s="2" t="s">
        <v>16</v>
      </c>
      <c r="E6465" s="4">
        <f>312.93*(1-Z1%)</f>
        <v>312.93</v>
      </c>
      <c r="F6465" s="2">
        <v>5</v>
      </c>
      <c r="G6465" s="2"/>
    </row>
    <row r="6466" spans="1:26" customHeight="1" ht="36" hidden="true" outlineLevel="2">
      <c r="A6466" s="2" t="s">
        <v>12228</v>
      </c>
      <c r="B6466" s="3" t="s">
        <v>12229</v>
      </c>
      <c r="C6466" s="2"/>
      <c r="D6466" s="2" t="s">
        <v>16</v>
      </c>
      <c r="E6466" s="4">
        <f>334.31*(1-Z1%)</f>
        <v>334.31</v>
      </c>
      <c r="F6466" s="2">
        <v>6</v>
      </c>
      <c r="G6466" s="2"/>
    </row>
    <row r="6467" spans="1:26" customHeight="1" ht="36" hidden="true" outlineLevel="2">
      <c r="A6467" s="2" t="s">
        <v>12230</v>
      </c>
      <c r="B6467" s="3" t="s">
        <v>12231</v>
      </c>
      <c r="C6467" s="2"/>
      <c r="D6467" s="2" t="s">
        <v>16</v>
      </c>
      <c r="E6467" s="4">
        <f>333.95*(1-Z1%)</f>
        <v>333.95</v>
      </c>
      <c r="F6467" s="2">
        <v>1</v>
      </c>
      <c r="G6467" s="2"/>
    </row>
    <row r="6468" spans="1:26" customHeight="1" ht="36" hidden="true" outlineLevel="2">
      <c r="A6468" s="2" t="s">
        <v>12232</v>
      </c>
      <c r="B6468" s="3" t="s">
        <v>12233</v>
      </c>
      <c r="C6468" s="2"/>
      <c r="D6468" s="2" t="s">
        <v>16</v>
      </c>
      <c r="E6468" s="4">
        <f>634.97*(1-Z1%)</f>
        <v>634.97</v>
      </c>
      <c r="F6468" s="2">
        <v>2</v>
      </c>
      <c r="G6468" s="2"/>
    </row>
    <row r="6469" spans="1:26" customHeight="1" ht="36" hidden="true" outlineLevel="2">
      <c r="A6469" s="2" t="s">
        <v>12234</v>
      </c>
      <c r="B6469" s="3" t="s">
        <v>12235</v>
      </c>
      <c r="C6469" s="2"/>
      <c r="D6469" s="2" t="s">
        <v>16</v>
      </c>
      <c r="E6469" s="4">
        <f>616.47*(1-Z1%)</f>
        <v>616.47</v>
      </c>
      <c r="F6469" s="2">
        <v>4</v>
      </c>
      <c r="G6469" s="2"/>
    </row>
    <row r="6470" spans="1:26" customHeight="1" ht="36" hidden="true" outlineLevel="2">
      <c r="A6470" s="2" t="s">
        <v>12236</v>
      </c>
      <c r="B6470" s="3" t="s">
        <v>12237</v>
      </c>
      <c r="C6470" s="2"/>
      <c r="D6470" s="2" t="s">
        <v>16</v>
      </c>
      <c r="E6470" s="4">
        <f>230.47*(1-Z1%)</f>
        <v>230.47</v>
      </c>
      <c r="F6470" s="2">
        <v>1</v>
      </c>
      <c r="G6470" s="2"/>
    </row>
    <row r="6471" spans="1:26" customHeight="1" ht="36" hidden="true" outlineLevel="2">
      <c r="A6471" s="2" t="s">
        <v>12238</v>
      </c>
      <c r="B6471" s="3" t="s">
        <v>12239</v>
      </c>
      <c r="C6471" s="2"/>
      <c r="D6471" s="2" t="s">
        <v>16</v>
      </c>
      <c r="E6471" s="4">
        <f>555.23*(1-Z1%)</f>
        <v>555.23</v>
      </c>
      <c r="F6471" s="2">
        <v>2</v>
      </c>
      <c r="G6471" s="2"/>
    </row>
    <row r="6472" spans="1:26" customHeight="1" ht="36" hidden="true" outlineLevel="2">
      <c r="A6472" s="2" t="s">
        <v>12240</v>
      </c>
      <c r="B6472" s="3" t="s">
        <v>12241</v>
      </c>
      <c r="C6472" s="2"/>
      <c r="D6472" s="2" t="s">
        <v>16</v>
      </c>
      <c r="E6472" s="4">
        <f>780.59*(1-Z1%)</f>
        <v>780.59</v>
      </c>
      <c r="F6472" s="2">
        <v>2</v>
      </c>
      <c r="G6472" s="2"/>
    </row>
    <row r="6473" spans="1:26" customHeight="1" ht="36" hidden="true" outlineLevel="2">
      <c r="A6473" s="2" t="s">
        <v>12242</v>
      </c>
      <c r="B6473" s="3" t="s">
        <v>12243</v>
      </c>
      <c r="C6473" s="2"/>
      <c r="D6473" s="2" t="s">
        <v>16</v>
      </c>
      <c r="E6473" s="4">
        <f>633.94*(1-Z1%)</f>
        <v>633.94</v>
      </c>
      <c r="F6473" s="2">
        <v>1</v>
      </c>
      <c r="G6473" s="2"/>
    </row>
    <row r="6474" spans="1:26" customHeight="1" ht="36" hidden="true" outlineLevel="2">
      <c r="A6474" s="2" t="s">
        <v>12244</v>
      </c>
      <c r="B6474" s="3" t="s">
        <v>12245</v>
      </c>
      <c r="C6474" s="2"/>
      <c r="D6474" s="2" t="s">
        <v>16</v>
      </c>
      <c r="E6474" s="4">
        <f>476.61*(1-Z1%)</f>
        <v>476.61</v>
      </c>
      <c r="F6474" s="2">
        <v>2</v>
      </c>
      <c r="G6474" s="2"/>
    </row>
    <row r="6475" spans="1:26" customHeight="1" ht="36" hidden="true" outlineLevel="2">
      <c r="A6475" s="2" t="s">
        <v>12246</v>
      </c>
      <c r="B6475" s="3" t="s">
        <v>12247</v>
      </c>
      <c r="C6475" s="2"/>
      <c r="D6475" s="2" t="s">
        <v>16</v>
      </c>
      <c r="E6475" s="4">
        <f>780.87*(1-Z1%)</f>
        <v>780.87</v>
      </c>
      <c r="F6475" s="2">
        <v>3</v>
      </c>
      <c r="G6475" s="2"/>
    </row>
    <row r="6476" spans="1:26" customHeight="1" ht="36" hidden="true" outlineLevel="2">
      <c r="A6476" s="2" t="s">
        <v>12248</v>
      </c>
      <c r="B6476" s="3" t="s">
        <v>12249</v>
      </c>
      <c r="C6476" s="2"/>
      <c r="D6476" s="2" t="s">
        <v>16</v>
      </c>
      <c r="E6476" s="4">
        <f>780.87*(1-Z1%)</f>
        <v>780.87</v>
      </c>
      <c r="F6476" s="2">
        <v>3</v>
      </c>
      <c r="G6476" s="2"/>
    </row>
    <row r="6477" spans="1:26" customHeight="1" ht="36" hidden="true" outlineLevel="2">
      <c r="A6477" s="2" t="s">
        <v>12250</v>
      </c>
      <c r="B6477" s="3" t="s">
        <v>12251</v>
      </c>
      <c r="C6477" s="2"/>
      <c r="D6477" s="2" t="s">
        <v>16</v>
      </c>
      <c r="E6477" s="4">
        <f>991.24*(1-Z1%)</f>
        <v>991.24</v>
      </c>
      <c r="F6477" s="2">
        <v>2</v>
      </c>
      <c r="G6477" s="2"/>
    </row>
    <row r="6478" spans="1:26" customHeight="1" ht="36" hidden="true" outlineLevel="2">
      <c r="A6478" s="2" t="s">
        <v>12252</v>
      </c>
      <c r="B6478" s="3" t="s">
        <v>12253</v>
      </c>
      <c r="C6478" s="2"/>
      <c r="D6478" s="2" t="s">
        <v>16</v>
      </c>
      <c r="E6478" s="4">
        <f>982.58*(1-Z1%)</f>
        <v>982.58</v>
      </c>
      <c r="F6478" s="2">
        <v>3</v>
      </c>
      <c r="G6478" s="2"/>
    </row>
    <row r="6479" spans="1:26" customHeight="1" ht="35" hidden="true" outlineLevel="2">
      <c r="A6479" s="5" t="s">
        <v>12254</v>
      </c>
      <c r="B6479" s="5"/>
      <c r="C6479" s="5"/>
      <c r="D6479" s="5"/>
      <c r="E6479" s="5"/>
      <c r="F6479" s="5"/>
      <c r="G6479" s="5"/>
    </row>
    <row r="6480" spans="1:26" customHeight="1" ht="35" hidden="true" outlineLevel="3">
      <c r="A6480" s="5" t="s">
        <v>12255</v>
      </c>
      <c r="B6480" s="5"/>
      <c r="C6480" s="5"/>
      <c r="D6480" s="5"/>
      <c r="E6480" s="5"/>
      <c r="F6480" s="5"/>
      <c r="G6480" s="5"/>
    </row>
    <row r="6481" spans="1:26" customHeight="1" ht="18" hidden="true" outlineLevel="3">
      <c r="A6481" s="2" t="s">
        <v>12256</v>
      </c>
      <c r="B6481" s="3" t="s">
        <v>12257</v>
      </c>
      <c r="C6481" s="2"/>
      <c r="D6481" s="2" t="s">
        <v>16</v>
      </c>
      <c r="E6481" s="4">
        <f>195.80*(1-Z1%)</f>
        <v>195.8</v>
      </c>
      <c r="F6481" s="2">
        <v>8</v>
      </c>
      <c r="G6481" s="2"/>
    </row>
    <row r="6482" spans="1:26" customHeight="1" ht="18" hidden="true" outlineLevel="3">
      <c r="A6482" s="2" t="s">
        <v>12258</v>
      </c>
      <c r="B6482" s="3" t="s">
        <v>12259</v>
      </c>
      <c r="C6482" s="2"/>
      <c r="D6482" s="2" t="s">
        <v>16</v>
      </c>
      <c r="E6482" s="4">
        <f>312.93*(1-Z1%)</f>
        <v>312.93</v>
      </c>
      <c r="F6482" s="2">
        <v>14</v>
      </c>
      <c r="G6482" s="2"/>
    </row>
    <row r="6483" spans="1:26" customHeight="1" ht="18" hidden="true" outlineLevel="3">
      <c r="A6483" s="2" t="s">
        <v>12260</v>
      </c>
      <c r="B6483" s="3" t="s">
        <v>12261</v>
      </c>
      <c r="C6483" s="2"/>
      <c r="D6483" s="2" t="s">
        <v>16</v>
      </c>
      <c r="E6483" s="4">
        <f>307.80*(1-Z1%)</f>
        <v>307.8</v>
      </c>
      <c r="F6483" s="2">
        <v>10</v>
      </c>
      <c r="G6483" s="2"/>
    </row>
    <row r="6484" spans="1:26" customHeight="1" ht="36" hidden="true" outlineLevel="3">
      <c r="A6484" s="2" t="s">
        <v>12262</v>
      </c>
      <c r="B6484" s="3" t="s">
        <v>12263</v>
      </c>
      <c r="C6484" s="2"/>
      <c r="D6484" s="2" t="s">
        <v>16</v>
      </c>
      <c r="E6484" s="4">
        <f>142.56*(1-Z1%)</f>
        <v>142.56</v>
      </c>
      <c r="F6484" s="2">
        <v>7</v>
      </c>
      <c r="G6484" s="2"/>
    </row>
    <row r="6485" spans="1:26" customHeight="1" ht="36" hidden="true" outlineLevel="3">
      <c r="A6485" s="2" t="s">
        <v>12264</v>
      </c>
      <c r="B6485" s="3" t="s">
        <v>12265</v>
      </c>
      <c r="C6485" s="2"/>
      <c r="D6485" s="2" t="s">
        <v>16</v>
      </c>
      <c r="E6485" s="4">
        <f>171.65*(1-Z1%)</f>
        <v>171.65</v>
      </c>
      <c r="F6485" s="2">
        <v>9</v>
      </c>
      <c r="G6485" s="2"/>
    </row>
    <row r="6486" spans="1:26" customHeight="1" ht="36" hidden="true" outlineLevel="3">
      <c r="A6486" s="2" t="s">
        <v>12266</v>
      </c>
      <c r="B6486" s="3" t="s">
        <v>12267</v>
      </c>
      <c r="C6486" s="2"/>
      <c r="D6486" s="2" t="s">
        <v>16</v>
      </c>
      <c r="E6486" s="4">
        <f>151.66*(1-Z1%)</f>
        <v>151.66</v>
      </c>
      <c r="F6486" s="2">
        <v>16</v>
      </c>
      <c r="G6486" s="2"/>
    </row>
    <row r="6487" spans="1:26" customHeight="1" ht="36" hidden="true" outlineLevel="3">
      <c r="A6487" s="2" t="s">
        <v>12268</v>
      </c>
      <c r="B6487" s="3" t="s">
        <v>12269</v>
      </c>
      <c r="C6487" s="2"/>
      <c r="D6487" s="2" t="s">
        <v>16</v>
      </c>
      <c r="E6487" s="4">
        <f>260.99*(1-Z1%)</f>
        <v>260.99</v>
      </c>
      <c r="F6487" s="2">
        <v>1</v>
      </c>
      <c r="G6487" s="2"/>
    </row>
    <row r="6488" spans="1:26" customHeight="1" ht="36" hidden="true" outlineLevel="3">
      <c r="A6488" s="2" t="s">
        <v>12270</v>
      </c>
      <c r="B6488" s="3" t="s">
        <v>12271</v>
      </c>
      <c r="C6488" s="2"/>
      <c r="D6488" s="2" t="s">
        <v>16</v>
      </c>
      <c r="E6488" s="4">
        <f>271.57*(1-Z1%)</f>
        <v>271.57</v>
      </c>
      <c r="F6488" s="2">
        <v>2</v>
      </c>
      <c r="G6488" s="2"/>
    </row>
    <row r="6489" spans="1:26" customHeight="1" ht="18" hidden="true" outlineLevel="3">
      <c r="A6489" s="2" t="s">
        <v>12272</v>
      </c>
      <c r="B6489" s="3" t="s">
        <v>12273</v>
      </c>
      <c r="C6489" s="2"/>
      <c r="D6489" s="2" t="s">
        <v>16</v>
      </c>
      <c r="E6489" s="4">
        <f>282.15*(1-Z1%)</f>
        <v>282.15</v>
      </c>
      <c r="F6489" s="2">
        <v>1</v>
      </c>
      <c r="G6489" s="2"/>
    </row>
    <row r="6490" spans="1:26" customHeight="1" ht="36" hidden="true" outlineLevel="3">
      <c r="A6490" s="2" t="s">
        <v>12274</v>
      </c>
      <c r="B6490" s="3" t="s">
        <v>12275</v>
      </c>
      <c r="C6490" s="2"/>
      <c r="D6490" s="2" t="s">
        <v>16</v>
      </c>
      <c r="E6490" s="4">
        <f>260.99*(1-Z1%)</f>
        <v>260.99</v>
      </c>
      <c r="F6490" s="2">
        <v>3</v>
      </c>
      <c r="G6490" s="2"/>
    </row>
    <row r="6491" spans="1:26" customHeight="1" ht="36" hidden="true" outlineLevel="3">
      <c r="A6491" s="2" t="s">
        <v>12276</v>
      </c>
      <c r="B6491" s="3" t="s">
        <v>12277</v>
      </c>
      <c r="C6491" s="2"/>
      <c r="D6491" s="2" t="s">
        <v>16</v>
      </c>
      <c r="E6491" s="4">
        <f>265.70*(1-Z1%)</f>
        <v>265.7</v>
      </c>
      <c r="F6491" s="2">
        <v>4</v>
      </c>
      <c r="G6491" s="2"/>
    </row>
    <row r="6492" spans="1:26" customHeight="1" ht="36" hidden="true" outlineLevel="3">
      <c r="A6492" s="2" t="s">
        <v>12278</v>
      </c>
      <c r="B6492" s="3" t="s">
        <v>12279</v>
      </c>
      <c r="C6492" s="2"/>
      <c r="D6492" s="2" t="s">
        <v>16</v>
      </c>
      <c r="E6492" s="4">
        <f>276.27*(1-Z1%)</f>
        <v>276.27</v>
      </c>
      <c r="F6492" s="2">
        <v>2</v>
      </c>
      <c r="G6492" s="2"/>
    </row>
    <row r="6493" spans="1:26" customHeight="1" ht="36" hidden="true" outlineLevel="3">
      <c r="A6493" s="2" t="s">
        <v>12280</v>
      </c>
      <c r="B6493" s="3" t="s">
        <v>12281</v>
      </c>
      <c r="C6493" s="2"/>
      <c r="D6493" s="2" t="s">
        <v>16</v>
      </c>
      <c r="E6493" s="4">
        <f>1813.16*(1-Z1%)</f>
        <v>1813.16</v>
      </c>
      <c r="F6493" s="2">
        <v>1</v>
      </c>
      <c r="G6493" s="2"/>
    </row>
    <row r="6494" spans="1:26" customHeight="1" ht="36" hidden="true" outlineLevel="3">
      <c r="A6494" s="2" t="s">
        <v>12282</v>
      </c>
      <c r="B6494" s="3" t="s">
        <v>12283</v>
      </c>
      <c r="C6494" s="2"/>
      <c r="D6494" s="2" t="s">
        <v>16</v>
      </c>
      <c r="E6494" s="4">
        <f>405.83*(1-Z1%)</f>
        <v>405.83</v>
      </c>
      <c r="F6494" s="2">
        <v>1</v>
      </c>
      <c r="G6494" s="2"/>
    </row>
    <row r="6495" spans="1:26" customHeight="1" ht="36" hidden="true" outlineLevel="3">
      <c r="A6495" s="2" t="s">
        <v>12284</v>
      </c>
      <c r="B6495" s="3" t="s">
        <v>12285</v>
      </c>
      <c r="C6495" s="2"/>
      <c r="D6495" s="2" t="s">
        <v>16</v>
      </c>
      <c r="E6495" s="4">
        <f>386.98*(1-Z1%)</f>
        <v>386.98</v>
      </c>
      <c r="F6495" s="2">
        <v>1</v>
      </c>
      <c r="G6495" s="2"/>
    </row>
    <row r="6496" spans="1:26" customHeight="1" ht="18" hidden="true" outlineLevel="3">
      <c r="A6496" s="2" t="s">
        <v>12286</v>
      </c>
      <c r="B6496" s="3" t="s">
        <v>12287</v>
      </c>
      <c r="C6496" s="2"/>
      <c r="D6496" s="2" t="s">
        <v>16</v>
      </c>
      <c r="E6496" s="4">
        <f>514.98*(1-Z1%)</f>
        <v>514.98</v>
      </c>
      <c r="F6496" s="2">
        <v>5</v>
      </c>
      <c r="G6496" s="2"/>
    </row>
    <row r="6497" spans="1:26" customHeight="1" ht="18" hidden="true" outlineLevel="3">
      <c r="A6497" s="2" t="s">
        <v>12288</v>
      </c>
      <c r="B6497" s="3" t="s">
        <v>12289</v>
      </c>
      <c r="C6497" s="2"/>
      <c r="D6497" s="2" t="s">
        <v>16</v>
      </c>
      <c r="E6497" s="4">
        <f>596.47*(1-Z1%)</f>
        <v>596.47</v>
      </c>
      <c r="F6497" s="2">
        <v>3</v>
      </c>
      <c r="G6497" s="2"/>
    </row>
    <row r="6498" spans="1:26" customHeight="1" ht="18" hidden="true" outlineLevel="3">
      <c r="A6498" s="2" t="s">
        <v>12290</v>
      </c>
      <c r="B6498" s="3" t="s">
        <v>12291</v>
      </c>
      <c r="C6498" s="2"/>
      <c r="D6498" s="2" t="s">
        <v>16</v>
      </c>
      <c r="E6498" s="4">
        <f>581.18*(1-Z1%)</f>
        <v>581.18</v>
      </c>
      <c r="F6498" s="2">
        <v>1</v>
      </c>
      <c r="G6498" s="2"/>
    </row>
    <row r="6499" spans="1:26" customHeight="1" ht="18" hidden="true" outlineLevel="3">
      <c r="A6499" s="2" t="s">
        <v>12292</v>
      </c>
      <c r="B6499" s="3" t="s">
        <v>12293</v>
      </c>
      <c r="C6499" s="2"/>
      <c r="D6499" s="2" t="s">
        <v>16</v>
      </c>
      <c r="E6499" s="4">
        <f>601.09*(1-Z1%)</f>
        <v>601.09</v>
      </c>
      <c r="F6499" s="2">
        <v>1</v>
      </c>
      <c r="G6499" s="2"/>
    </row>
    <row r="6500" spans="1:26" customHeight="1" ht="18" hidden="true" outlineLevel="3">
      <c r="A6500" s="2" t="s">
        <v>12294</v>
      </c>
      <c r="B6500" s="3" t="s">
        <v>12295</v>
      </c>
      <c r="C6500" s="2"/>
      <c r="D6500" s="2" t="s">
        <v>16</v>
      </c>
      <c r="E6500" s="4">
        <f>602.44*(1-Z1%)</f>
        <v>602.44</v>
      </c>
      <c r="F6500" s="2">
        <v>1</v>
      </c>
      <c r="G6500" s="2"/>
    </row>
    <row r="6501" spans="1:26" customHeight="1" ht="18" hidden="true" outlineLevel="3">
      <c r="A6501" s="2" t="s">
        <v>12296</v>
      </c>
      <c r="B6501" s="3" t="s">
        <v>12297</v>
      </c>
      <c r="C6501" s="2"/>
      <c r="D6501" s="2" t="s">
        <v>16</v>
      </c>
      <c r="E6501" s="4">
        <f>616.62*(1-Z1%)</f>
        <v>616.62</v>
      </c>
      <c r="F6501" s="2">
        <v>1</v>
      </c>
      <c r="G6501" s="2"/>
    </row>
    <row r="6502" spans="1:26" customHeight="1" ht="18" hidden="true" outlineLevel="3">
      <c r="A6502" s="2" t="s">
        <v>12298</v>
      </c>
      <c r="B6502" s="3" t="s">
        <v>12299</v>
      </c>
      <c r="C6502" s="2"/>
      <c r="D6502" s="2" t="s">
        <v>16</v>
      </c>
      <c r="E6502" s="4">
        <f>614.48*(1-Z1%)</f>
        <v>614.48</v>
      </c>
      <c r="F6502" s="2">
        <v>3</v>
      </c>
      <c r="G6502" s="2"/>
    </row>
    <row r="6503" spans="1:26" customHeight="1" ht="18" hidden="true" outlineLevel="3">
      <c r="A6503" s="2" t="s">
        <v>12300</v>
      </c>
      <c r="B6503" s="3" t="s">
        <v>12301</v>
      </c>
      <c r="C6503" s="2"/>
      <c r="D6503" s="2" t="s">
        <v>16</v>
      </c>
      <c r="E6503" s="4">
        <f>200.93*(1-Z1%)</f>
        <v>200.93</v>
      </c>
      <c r="F6503" s="2">
        <v>10</v>
      </c>
      <c r="G6503" s="2"/>
    </row>
    <row r="6504" spans="1:26" customHeight="1" ht="36" hidden="true" outlineLevel="3">
      <c r="A6504" s="2" t="s">
        <v>12302</v>
      </c>
      <c r="B6504" s="3" t="s">
        <v>12303</v>
      </c>
      <c r="C6504" s="2"/>
      <c r="D6504" s="2" t="s">
        <v>16</v>
      </c>
      <c r="E6504" s="4">
        <f>323.48*(1-Z1%)</f>
        <v>323.48</v>
      </c>
      <c r="F6504" s="2">
        <v>5</v>
      </c>
      <c r="G6504" s="2"/>
    </row>
    <row r="6505" spans="1:26" customHeight="1" ht="35" hidden="true" outlineLevel="3">
      <c r="A6505" s="5" t="s">
        <v>12304</v>
      </c>
      <c r="B6505" s="5"/>
      <c r="C6505" s="5"/>
      <c r="D6505" s="5"/>
      <c r="E6505" s="5"/>
      <c r="F6505" s="5"/>
      <c r="G6505" s="5"/>
    </row>
    <row r="6506" spans="1:26" customHeight="1" ht="36" hidden="true" outlineLevel="3">
      <c r="A6506" s="2" t="s">
        <v>12305</v>
      </c>
      <c r="B6506" s="3" t="s">
        <v>12306</v>
      </c>
      <c r="C6506" s="2"/>
      <c r="D6506" s="2" t="s">
        <v>16</v>
      </c>
      <c r="E6506" s="4">
        <f>2338.88*(1-Z1%)</f>
        <v>2338.88</v>
      </c>
      <c r="F6506" s="2">
        <v>7</v>
      </c>
      <c r="G6506" s="2"/>
    </row>
    <row r="6507" spans="1:26" customHeight="1" ht="36" hidden="true" outlineLevel="3">
      <c r="A6507" s="2" t="s">
        <v>12307</v>
      </c>
      <c r="B6507" s="3" t="s">
        <v>12308</v>
      </c>
      <c r="C6507" s="2"/>
      <c r="D6507" s="2" t="s">
        <v>16</v>
      </c>
      <c r="E6507" s="4">
        <f>1126.13*(1-Z1%)</f>
        <v>1126.13</v>
      </c>
      <c r="F6507" s="2">
        <v>6</v>
      </c>
      <c r="G6507" s="2"/>
    </row>
    <row r="6508" spans="1:26" customHeight="1" ht="36" hidden="true" outlineLevel="3">
      <c r="A6508" s="2" t="s">
        <v>12309</v>
      </c>
      <c r="B6508" s="3" t="s">
        <v>12310</v>
      </c>
      <c r="C6508" s="2"/>
      <c r="D6508" s="2" t="s">
        <v>16</v>
      </c>
      <c r="E6508" s="4">
        <f>1918.13*(1-Z1%)</f>
        <v>1918.13</v>
      </c>
      <c r="F6508" s="2">
        <v>14</v>
      </c>
      <c r="G6508" s="2"/>
    </row>
    <row r="6509" spans="1:26" customHeight="1" ht="36" hidden="true" outlineLevel="3">
      <c r="A6509" s="2" t="s">
        <v>12311</v>
      </c>
      <c r="B6509" s="3" t="s">
        <v>12312</v>
      </c>
      <c r="C6509" s="2"/>
      <c r="D6509" s="2" t="s">
        <v>16</v>
      </c>
      <c r="E6509" s="4">
        <f>333.68*(1-Z1%)</f>
        <v>333.68</v>
      </c>
      <c r="F6509" s="2">
        <v>3</v>
      </c>
      <c r="G6509" s="2"/>
    </row>
    <row r="6510" spans="1:26" customHeight="1" ht="35" hidden="true" outlineLevel="3">
      <c r="A6510" s="5" t="s">
        <v>12313</v>
      </c>
      <c r="B6510" s="5"/>
      <c r="C6510" s="5"/>
      <c r="D6510" s="5"/>
      <c r="E6510" s="5"/>
      <c r="F6510" s="5"/>
      <c r="G6510" s="5"/>
    </row>
    <row r="6511" spans="1:26" customHeight="1" ht="36" hidden="true" outlineLevel="3">
      <c r="A6511" s="2" t="s">
        <v>12314</v>
      </c>
      <c r="B6511" s="3" t="s">
        <v>12315</v>
      </c>
      <c r="C6511" s="2"/>
      <c r="D6511" s="2" t="s">
        <v>16</v>
      </c>
      <c r="E6511" s="4">
        <f>308.51*(1-Z1%)</f>
        <v>308.51</v>
      </c>
      <c r="F6511" s="2">
        <v>3</v>
      </c>
      <c r="G6511" s="2"/>
    </row>
    <row r="6512" spans="1:26" customHeight="1" ht="18" hidden="true" outlineLevel="3">
      <c r="A6512" s="2" t="s">
        <v>12316</v>
      </c>
      <c r="B6512" s="3" t="s">
        <v>12317</v>
      </c>
      <c r="C6512" s="2"/>
      <c r="D6512" s="2" t="s">
        <v>16</v>
      </c>
      <c r="E6512" s="4">
        <f>122.27*(1-Z1%)</f>
        <v>122.27</v>
      </c>
      <c r="F6512" s="2">
        <v>5</v>
      </c>
      <c r="G6512" s="2"/>
    </row>
    <row r="6513" spans="1:26" customHeight="1" ht="18" hidden="true" outlineLevel="3">
      <c r="A6513" s="2" t="s">
        <v>12318</v>
      </c>
      <c r="B6513" s="3" t="s">
        <v>12319</v>
      </c>
      <c r="C6513" s="2"/>
      <c r="D6513" s="2" t="s">
        <v>16</v>
      </c>
      <c r="E6513" s="4">
        <f>130.49*(1-Z1%)</f>
        <v>130.49</v>
      </c>
      <c r="F6513" s="2">
        <v>1</v>
      </c>
      <c r="G6513" s="2"/>
    </row>
    <row r="6514" spans="1:26" customHeight="1" ht="18" hidden="true" outlineLevel="3">
      <c r="A6514" s="2" t="s">
        <v>12320</v>
      </c>
      <c r="B6514" s="3" t="s">
        <v>12321</v>
      </c>
      <c r="C6514" s="2"/>
      <c r="D6514" s="2" t="s">
        <v>16</v>
      </c>
      <c r="E6514" s="4">
        <f>152.84*(1-Z1%)</f>
        <v>152.84</v>
      </c>
      <c r="F6514" s="2">
        <v>3</v>
      </c>
      <c r="G6514" s="2"/>
    </row>
    <row r="6515" spans="1:26" customHeight="1" ht="18" hidden="true" outlineLevel="3">
      <c r="A6515" s="2" t="s">
        <v>12322</v>
      </c>
      <c r="B6515" s="3" t="s">
        <v>12323</v>
      </c>
      <c r="C6515" s="2"/>
      <c r="D6515" s="2" t="s">
        <v>16</v>
      </c>
      <c r="E6515" s="4">
        <f>157.54*(1-Z1%)</f>
        <v>157.54</v>
      </c>
      <c r="F6515" s="2">
        <v>6</v>
      </c>
      <c r="G6515" s="2"/>
    </row>
    <row r="6516" spans="1:26" customHeight="1" ht="36" hidden="true" outlineLevel="3">
      <c r="A6516" s="2" t="s">
        <v>12324</v>
      </c>
      <c r="B6516" s="3" t="s">
        <v>12325</v>
      </c>
      <c r="C6516" s="2"/>
      <c r="D6516" s="2" t="s">
        <v>16</v>
      </c>
      <c r="E6516" s="4">
        <f>203.82*(1-Z1%)</f>
        <v>203.82</v>
      </c>
      <c r="F6516" s="2">
        <v>3</v>
      </c>
      <c r="G6516" s="2"/>
    </row>
    <row r="6517" spans="1:26" customHeight="1" ht="18" hidden="true" outlineLevel="3">
      <c r="A6517" s="2" t="s">
        <v>12326</v>
      </c>
      <c r="B6517" s="3" t="s">
        <v>12327</v>
      </c>
      <c r="C6517" s="2"/>
      <c r="D6517" s="2" t="s">
        <v>16</v>
      </c>
      <c r="E6517" s="4">
        <f>163.41*(1-Z1%)</f>
        <v>163.41</v>
      </c>
      <c r="F6517" s="2">
        <v>2</v>
      </c>
      <c r="G6517" s="2"/>
    </row>
    <row r="6518" spans="1:26" customHeight="1" ht="18" hidden="true" outlineLevel="3">
      <c r="A6518" s="2" t="s">
        <v>12328</v>
      </c>
      <c r="B6518" s="3" t="s">
        <v>12329</v>
      </c>
      <c r="C6518" s="2"/>
      <c r="D6518" s="2" t="s">
        <v>16</v>
      </c>
      <c r="E6518" s="4">
        <f>158.18*(1-Z1%)</f>
        <v>158.18</v>
      </c>
      <c r="F6518" s="2">
        <v>2</v>
      </c>
      <c r="G6518" s="2"/>
    </row>
    <row r="6519" spans="1:26" customHeight="1" ht="36" hidden="true" outlineLevel="3">
      <c r="A6519" s="2" t="s">
        <v>12330</v>
      </c>
      <c r="B6519" s="3" t="s">
        <v>12331</v>
      </c>
      <c r="C6519" s="2"/>
      <c r="D6519" s="2" t="s">
        <v>16</v>
      </c>
      <c r="E6519" s="4">
        <f>154.01*(1-Z1%)</f>
        <v>154.01</v>
      </c>
      <c r="F6519" s="2">
        <v>8</v>
      </c>
      <c r="G6519" s="2"/>
    </row>
    <row r="6520" spans="1:26" customHeight="1" ht="18" hidden="true" outlineLevel="3">
      <c r="A6520" s="2" t="s">
        <v>12332</v>
      </c>
      <c r="B6520" s="3" t="s">
        <v>12333</v>
      </c>
      <c r="C6520" s="2"/>
      <c r="D6520" s="2" t="s">
        <v>16</v>
      </c>
      <c r="E6520" s="4">
        <f>152.59*(1-Z1%)</f>
        <v>152.59</v>
      </c>
      <c r="F6520" s="2">
        <v>4</v>
      </c>
      <c r="G6520" s="2"/>
    </row>
    <row r="6521" spans="1:26" customHeight="1" ht="18" hidden="true" outlineLevel="3">
      <c r="A6521" s="2" t="s">
        <v>12334</v>
      </c>
      <c r="B6521" s="3" t="s">
        <v>12335</v>
      </c>
      <c r="C6521" s="2"/>
      <c r="D6521" s="2" t="s">
        <v>16</v>
      </c>
      <c r="E6521" s="4">
        <f>216.32*(1-Z1%)</f>
        <v>216.32</v>
      </c>
      <c r="F6521" s="2">
        <v>6</v>
      </c>
      <c r="G6521" s="2"/>
    </row>
    <row r="6522" spans="1:26" customHeight="1" ht="18" hidden="true" outlineLevel="3">
      <c r="A6522" s="2" t="s">
        <v>12336</v>
      </c>
      <c r="B6522" s="3" t="s">
        <v>12337</v>
      </c>
      <c r="C6522" s="2"/>
      <c r="D6522" s="2" t="s">
        <v>16</v>
      </c>
      <c r="E6522" s="4">
        <f>218.39*(1-Z1%)</f>
        <v>218.39</v>
      </c>
      <c r="F6522" s="2">
        <v>9</v>
      </c>
      <c r="G6522" s="2"/>
    </row>
    <row r="6523" spans="1:26" customHeight="1" ht="18" hidden="true" outlineLevel="3">
      <c r="A6523" s="2" t="s">
        <v>12338</v>
      </c>
      <c r="B6523" s="3" t="s">
        <v>12339</v>
      </c>
      <c r="C6523" s="2"/>
      <c r="D6523" s="2" t="s">
        <v>16</v>
      </c>
      <c r="E6523" s="4">
        <f>147.18*(1-Z1%)</f>
        <v>147.18</v>
      </c>
      <c r="F6523" s="2">
        <v>6</v>
      </c>
      <c r="G6523" s="2"/>
    </row>
    <row r="6524" spans="1:26" customHeight="1" ht="18" hidden="true" outlineLevel="3">
      <c r="A6524" s="2" t="s">
        <v>12340</v>
      </c>
      <c r="B6524" s="3" t="s">
        <v>12341</v>
      </c>
      <c r="C6524" s="2"/>
      <c r="D6524" s="2" t="s">
        <v>16</v>
      </c>
      <c r="E6524" s="4">
        <f>147.06*(1-Z1%)</f>
        <v>147.06</v>
      </c>
      <c r="F6524" s="2">
        <v>10</v>
      </c>
      <c r="G6524" s="2"/>
    </row>
    <row r="6525" spans="1:26" customHeight="1" ht="18" hidden="true" outlineLevel="3">
      <c r="A6525" s="2" t="s">
        <v>12342</v>
      </c>
      <c r="B6525" s="3" t="s">
        <v>12343</v>
      </c>
      <c r="C6525" s="2"/>
      <c r="D6525" s="2" t="s">
        <v>16</v>
      </c>
      <c r="E6525" s="4">
        <f>121.41*(1-Z1%)</f>
        <v>121.41</v>
      </c>
      <c r="F6525" s="2">
        <v>4</v>
      </c>
      <c r="G6525" s="2"/>
    </row>
    <row r="6526" spans="1:26" customHeight="1" ht="18" hidden="true" outlineLevel="3">
      <c r="A6526" s="2" t="s">
        <v>12344</v>
      </c>
      <c r="B6526" s="3" t="s">
        <v>12345</v>
      </c>
      <c r="C6526" s="2"/>
      <c r="D6526" s="2" t="s">
        <v>16</v>
      </c>
      <c r="E6526" s="4">
        <f>193.05*(1-Z1%)</f>
        <v>193.05</v>
      </c>
      <c r="F6526" s="2">
        <v>4</v>
      </c>
      <c r="G6526" s="2"/>
    </row>
    <row r="6527" spans="1:26" customHeight="1" ht="18" hidden="true" outlineLevel="3">
      <c r="A6527" s="2" t="s">
        <v>12346</v>
      </c>
      <c r="B6527" s="3" t="s">
        <v>12347</v>
      </c>
      <c r="C6527" s="2"/>
      <c r="D6527" s="2" t="s">
        <v>16</v>
      </c>
      <c r="E6527" s="4">
        <f>214.09*(1-Z1%)</f>
        <v>214.09</v>
      </c>
      <c r="F6527" s="2">
        <v>5</v>
      </c>
      <c r="G6527" s="2"/>
    </row>
    <row r="6528" spans="1:26" customHeight="1" ht="18" hidden="true" outlineLevel="3">
      <c r="A6528" s="2" t="s">
        <v>12348</v>
      </c>
      <c r="B6528" s="3" t="s">
        <v>12349</v>
      </c>
      <c r="C6528" s="2"/>
      <c r="D6528" s="2" t="s">
        <v>16</v>
      </c>
      <c r="E6528" s="4">
        <f>227.21*(1-Z1%)</f>
        <v>227.21</v>
      </c>
      <c r="F6528" s="2">
        <v>1</v>
      </c>
      <c r="G6528" s="2"/>
    </row>
    <row r="6529" spans="1:26" customHeight="1" ht="18" hidden="true" outlineLevel="3">
      <c r="A6529" s="2" t="s">
        <v>12350</v>
      </c>
      <c r="B6529" s="3" t="s">
        <v>12351</v>
      </c>
      <c r="C6529" s="2"/>
      <c r="D6529" s="2" t="s">
        <v>16</v>
      </c>
      <c r="E6529" s="4">
        <f>459.28*(1-Z1%)</f>
        <v>459.28</v>
      </c>
      <c r="F6529" s="2">
        <v>1</v>
      </c>
      <c r="G6529" s="2"/>
    </row>
    <row r="6530" spans="1:26" customHeight="1" ht="18" hidden="true" outlineLevel="3">
      <c r="A6530" s="2" t="s">
        <v>12352</v>
      </c>
      <c r="B6530" s="3" t="s">
        <v>12353</v>
      </c>
      <c r="C6530" s="2"/>
      <c r="D6530" s="2" t="s">
        <v>16</v>
      </c>
      <c r="E6530" s="4">
        <f>902.14*(1-Z1%)</f>
        <v>902.14</v>
      </c>
      <c r="F6530" s="2">
        <v>3</v>
      </c>
      <c r="G6530" s="2"/>
    </row>
    <row r="6531" spans="1:26" customHeight="1" ht="18" hidden="true" outlineLevel="3">
      <c r="A6531" s="2" t="s">
        <v>12354</v>
      </c>
      <c r="B6531" s="3" t="s">
        <v>12355</v>
      </c>
      <c r="C6531" s="2"/>
      <c r="D6531" s="2" t="s">
        <v>16</v>
      </c>
      <c r="E6531" s="4">
        <f>868.73*(1-Z1%)</f>
        <v>868.73</v>
      </c>
      <c r="F6531" s="2">
        <v>3</v>
      </c>
      <c r="G6531" s="2"/>
    </row>
    <row r="6532" spans="1:26" customHeight="1" ht="18" hidden="true" outlineLevel="3">
      <c r="A6532" s="2" t="s">
        <v>12356</v>
      </c>
      <c r="B6532" s="3" t="s">
        <v>12357</v>
      </c>
      <c r="C6532" s="2"/>
      <c r="D6532" s="2" t="s">
        <v>16</v>
      </c>
      <c r="E6532" s="4">
        <f>1355.12*(1-Z1%)</f>
        <v>1355.12</v>
      </c>
      <c r="F6532" s="2">
        <v>1</v>
      </c>
      <c r="G6532" s="2"/>
    </row>
    <row r="6533" spans="1:26" customHeight="1" ht="18" hidden="true" outlineLevel="3">
      <c r="A6533" s="2" t="s">
        <v>12358</v>
      </c>
      <c r="B6533" s="3" t="s">
        <v>12359</v>
      </c>
      <c r="C6533" s="2"/>
      <c r="D6533" s="2" t="s">
        <v>16</v>
      </c>
      <c r="E6533" s="4">
        <f>554.40*(1-Z1%)</f>
        <v>554.4</v>
      </c>
      <c r="F6533" s="2">
        <v>3</v>
      </c>
      <c r="G6533" s="2"/>
    </row>
    <row r="6534" spans="1:26" customHeight="1" ht="36" hidden="true" outlineLevel="3">
      <c r="A6534" s="2" t="s">
        <v>12360</v>
      </c>
      <c r="B6534" s="3" t="s">
        <v>12361</v>
      </c>
      <c r="C6534" s="2"/>
      <c r="D6534" s="2" t="s">
        <v>16</v>
      </c>
      <c r="E6534" s="4">
        <f>172.08*(1-Z1%)</f>
        <v>172.08</v>
      </c>
      <c r="F6534" s="2">
        <v>4</v>
      </c>
      <c r="G6534" s="2"/>
    </row>
    <row r="6535" spans="1:26" customHeight="1" ht="36" hidden="true" outlineLevel="3">
      <c r="A6535" s="2" t="s">
        <v>12362</v>
      </c>
      <c r="B6535" s="3" t="s">
        <v>12363</v>
      </c>
      <c r="C6535" s="2"/>
      <c r="D6535" s="2" t="s">
        <v>16</v>
      </c>
      <c r="E6535" s="4">
        <f>192.65*(1-Z1%)</f>
        <v>192.65</v>
      </c>
      <c r="F6535" s="2">
        <v>4</v>
      </c>
      <c r="G6535" s="2"/>
    </row>
    <row r="6536" spans="1:26" customHeight="1" ht="36" hidden="true" outlineLevel="3">
      <c r="A6536" s="2" t="s">
        <v>12364</v>
      </c>
      <c r="B6536" s="3" t="s">
        <v>12365</v>
      </c>
      <c r="C6536" s="2"/>
      <c r="D6536" s="2" t="s">
        <v>16</v>
      </c>
      <c r="E6536" s="4">
        <f>353.28*(1-Z1%)</f>
        <v>353.28</v>
      </c>
      <c r="F6536" s="2">
        <v>5</v>
      </c>
      <c r="G6536" s="2"/>
    </row>
    <row r="6537" spans="1:26" customHeight="1" ht="36" hidden="true" outlineLevel="3">
      <c r="A6537" s="2" t="s">
        <v>12366</v>
      </c>
      <c r="B6537" s="3" t="s">
        <v>12367</v>
      </c>
      <c r="C6537" s="2"/>
      <c r="D6537" s="2" t="s">
        <v>16</v>
      </c>
      <c r="E6537" s="4">
        <f>224.62*(1-Z1%)</f>
        <v>224.62</v>
      </c>
      <c r="F6537" s="2">
        <v>4</v>
      </c>
      <c r="G6537" s="2"/>
    </row>
    <row r="6538" spans="1:26" customHeight="1" ht="36" hidden="true" outlineLevel="3">
      <c r="A6538" s="2" t="s">
        <v>12368</v>
      </c>
      <c r="B6538" s="3" t="s">
        <v>12369</v>
      </c>
      <c r="C6538" s="2"/>
      <c r="D6538" s="2" t="s">
        <v>16</v>
      </c>
      <c r="E6538" s="4">
        <f>264.98*(1-Z1%)</f>
        <v>264.98</v>
      </c>
      <c r="F6538" s="2">
        <v>3</v>
      </c>
      <c r="G6538" s="2"/>
    </row>
    <row r="6539" spans="1:26" customHeight="1" ht="36" hidden="true" outlineLevel="3">
      <c r="A6539" s="2" t="s">
        <v>12370</v>
      </c>
      <c r="B6539" s="3" t="s">
        <v>12371</v>
      </c>
      <c r="C6539" s="2"/>
      <c r="D6539" s="2" t="s">
        <v>16</v>
      </c>
      <c r="E6539" s="4">
        <f>316.63*(1-Z1%)</f>
        <v>316.63</v>
      </c>
      <c r="F6539" s="2">
        <v>4</v>
      </c>
      <c r="G6539" s="2"/>
    </row>
    <row r="6540" spans="1:26" customHeight="1" ht="36" hidden="true" outlineLevel="3">
      <c r="A6540" s="2" t="s">
        <v>12372</v>
      </c>
      <c r="B6540" s="3" t="s">
        <v>12373</v>
      </c>
      <c r="C6540" s="2"/>
      <c r="D6540" s="2" t="s">
        <v>16</v>
      </c>
      <c r="E6540" s="4">
        <f>404.92*(1-Z1%)</f>
        <v>404.92</v>
      </c>
      <c r="F6540" s="2">
        <v>4</v>
      </c>
      <c r="G6540" s="2"/>
    </row>
    <row r="6541" spans="1:26" customHeight="1" ht="36" hidden="true" outlineLevel="3">
      <c r="A6541" s="2" t="s">
        <v>12374</v>
      </c>
      <c r="B6541" s="3" t="s">
        <v>12375</v>
      </c>
      <c r="C6541" s="2"/>
      <c r="D6541" s="2" t="s">
        <v>16</v>
      </c>
      <c r="E6541" s="4">
        <f>251.34*(1-Z1%)</f>
        <v>251.34</v>
      </c>
      <c r="F6541" s="2">
        <v>2</v>
      </c>
      <c r="G6541" s="2"/>
    </row>
    <row r="6542" spans="1:26" customHeight="1" ht="36" hidden="true" outlineLevel="3">
      <c r="A6542" s="2" t="s">
        <v>12376</v>
      </c>
      <c r="B6542" s="3" t="s">
        <v>12377</v>
      </c>
      <c r="C6542" s="2"/>
      <c r="D6542" s="2" t="s">
        <v>16</v>
      </c>
      <c r="E6542" s="4">
        <f>314.90*(1-Z1%)</f>
        <v>314.9</v>
      </c>
      <c r="F6542" s="2">
        <v>3</v>
      </c>
      <c r="G6542" s="2"/>
    </row>
    <row r="6543" spans="1:26" customHeight="1" ht="36" hidden="true" outlineLevel="3">
      <c r="A6543" s="2" t="s">
        <v>12378</v>
      </c>
      <c r="B6543" s="3" t="s">
        <v>12379</v>
      </c>
      <c r="C6543" s="2"/>
      <c r="D6543" s="2" t="s">
        <v>16</v>
      </c>
      <c r="E6543" s="4">
        <f>255.49*(1-Z1%)</f>
        <v>255.49</v>
      </c>
      <c r="F6543" s="2">
        <v>2</v>
      </c>
      <c r="G6543" s="2"/>
    </row>
    <row r="6544" spans="1:26" customHeight="1" ht="18" hidden="true" outlineLevel="3">
      <c r="A6544" s="2" t="s">
        <v>12380</v>
      </c>
      <c r="B6544" s="3" t="s">
        <v>12381</v>
      </c>
      <c r="C6544" s="2"/>
      <c r="D6544" s="2" t="s">
        <v>16</v>
      </c>
      <c r="E6544" s="4">
        <f>292.05*(1-Z1%)</f>
        <v>292.05</v>
      </c>
      <c r="F6544" s="2">
        <v>4</v>
      </c>
      <c r="G6544" s="2"/>
    </row>
    <row r="6545" spans="1:26" customHeight="1" ht="35" hidden="true" outlineLevel="3">
      <c r="A6545" s="5" t="s">
        <v>12382</v>
      </c>
      <c r="B6545" s="5"/>
      <c r="C6545" s="5"/>
      <c r="D6545" s="5"/>
      <c r="E6545" s="5"/>
      <c r="F6545" s="5"/>
      <c r="G6545" s="5"/>
    </row>
    <row r="6546" spans="1:26" customHeight="1" ht="36" hidden="true" outlineLevel="3">
      <c r="A6546" s="2" t="s">
        <v>12383</v>
      </c>
      <c r="B6546" s="3" t="s">
        <v>12384</v>
      </c>
      <c r="C6546" s="2"/>
      <c r="D6546" s="2" t="s">
        <v>16</v>
      </c>
      <c r="E6546" s="4">
        <f>217.94*(1-Z1%)</f>
        <v>217.94</v>
      </c>
      <c r="F6546" s="2">
        <v>3</v>
      </c>
      <c r="G6546" s="2"/>
    </row>
    <row r="6547" spans="1:26" customHeight="1" ht="36" hidden="true" outlineLevel="3">
      <c r="A6547" s="2" t="s">
        <v>12385</v>
      </c>
      <c r="B6547" s="3" t="s">
        <v>12386</v>
      </c>
      <c r="C6547" s="2"/>
      <c r="D6547" s="2" t="s">
        <v>16</v>
      </c>
      <c r="E6547" s="4">
        <f>271.13*(1-Z1%)</f>
        <v>271.13</v>
      </c>
      <c r="F6547" s="2">
        <v>3</v>
      </c>
      <c r="G6547" s="2"/>
    </row>
    <row r="6548" spans="1:26" customHeight="1" ht="18" hidden="true" outlineLevel="3">
      <c r="A6548" s="2" t="s">
        <v>12387</v>
      </c>
      <c r="B6548" s="3" t="s">
        <v>12388</v>
      </c>
      <c r="C6548" s="2"/>
      <c r="D6548" s="2" t="s">
        <v>16</v>
      </c>
      <c r="E6548" s="4">
        <f>383.27*(1-Z1%)</f>
        <v>383.27</v>
      </c>
      <c r="F6548" s="2">
        <v>2</v>
      </c>
      <c r="G6548" s="2"/>
    </row>
    <row r="6549" spans="1:26" customHeight="1" ht="18" hidden="true" outlineLevel="3">
      <c r="A6549" s="2" t="s">
        <v>12389</v>
      </c>
      <c r="B6549" s="3" t="s">
        <v>12390</v>
      </c>
      <c r="C6549" s="2"/>
      <c r="D6549" s="2" t="s">
        <v>16</v>
      </c>
      <c r="E6549" s="4">
        <f>84.65*(1-Z1%)</f>
        <v>84.65</v>
      </c>
      <c r="F6549" s="2">
        <v>17</v>
      </c>
      <c r="G6549" s="2"/>
    </row>
    <row r="6550" spans="1:26" customHeight="1" ht="18" hidden="true" outlineLevel="3">
      <c r="A6550" s="2" t="s">
        <v>12391</v>
      </c>
      <c r="B6550" s="3" t="s">
        <v>12392</v>
      </c>
      <c r="C6550" s="2"/>
      <c r="D6550" s="2" t="s">
        <v>16</v>
      </c>
      <c r="E6550" s="4">
        <f>296.69*(1-Z1%)</f>
        <v>296.69</v>
      </c>
      <c r="F6550" s="2">
        <v>2</v>
      </c>
      <c r="G6550" s="2"/>
    </row>
    <row r="6551" spans="1:26" customHeight="1" ht="18" hidden="true" outlineLevel="3">
      <c r="A6551" s="2" t="s">
        <v>12393</v>
      </c>
      <c r="B6551" s="3" t="s">
        <v>12394</v>
      </c>
      <c r="C6551" s="2"/>
      <c r="D6551" s="2" t="s">
        <v>16</v>
      </c>
      <c r="E6551" s="4">
        <f>201.03*(1-Z1%)</f>
        <v>201.03</v>
      </c>
      <c r="F6551" s="2">
        <v>4</v>
      </c>
      <c r="G6551" s="2"/>
    </row>
    <row r="6552" spans="1:26" customHeight="1" ht="18" hidden="true" outlineLevel="3">
      <c r="A6552" s="2" t="s">
        <v>12395</v>
      </c>
      <c r="B6552" s="3" t="s">
        <v>12396</v>
      </c>
      <c r="C6552" s="2"/>
      <c r="D6552" s="2" t="s">
        <v>16</v>
      </c>
      <c r="E6552" s="4">
        <f>75.24*(1-Z1%)</f>
        <v>75.24</v>
      </c>
      <c r="F6552" s="2">
        <v>10</v>
      </c>
      <c r="G6552" s="2"/>
    </row>
    <row r="6553" spans="1:26" customHeight="1" ht="18" hidden="true" outlineLevel="3">
      <c r="A6553" s="2" t="s">
        <v>12397</v>
      </c>
      <c r="B6553" s="3" t="s">
        <v>12398</v>
      </c>
      <c r="C6553" s="2"/>
      <c r="D6553" s="2" t="s">
        <v>16</v>
      </c>
      <c r="E6553" s="4">
        <f>773.78*(1-Z1%)</f>
        <v>773.78</v>
      </c>
      <c r="F6553" s="2">
        <v>2</v>
      </c>
      <c r="G6553" s="2"/>
    </row>
    <row r="6554" spans="1:26" customHeight="1" ht="18" hidden="true" outlineLevel="3">
      <c r="A6554" s="2" t="s">
        <v>12399</v>
      </c>
      <c r="B6554" s="3" t="s">
        <v>12400</v>
      </c>
      <c r="C6554" s="2"/>
      <c r="D6554" s="2" t="s">
        <v>16</v>
      </c>
      <c r="E6554" s="4">
        <f>63.66*(1-Z1%)</f>
        <v>63.66</v>
      </c>
      <c r="F6554" s="2">
        <v>17</v>
      </c>
      <c r="G6554" s="2"/>
    </row>
    <row r="6555" spans="1:26" customHeight="1" ht="18" hidden="true" outlineLevel="3">
      <c r="A6555" s="2" t="s">
        <v>12401</v>
      </c>
      <c r="B6555" s="3" t="s">
        <v>12402</v>
      </c>
      <c r="C6555" s="2"/>
      <c r="D6555" s="2" t="s">
        <v>16</v>
      </c>
      <c r="E6555" s="4">
        <f>243.92*(1-Z1%)</f>
        <v>243.92</v>
      </c>
      <c r="F6555" s="2">
        <v>4</v>
      </c>
      <c r="G6555" s="2"/>
    </row>
    <row r="6556" spans="1:26" customHeight="1" ht="35">
      <c r="A6556" s="1" t="s">
        <v>12403</v>
      </c>
      <c r="B6556" s="1"/>
      <c r="C6556" s="1"/>
      <c r="D6556" s="1"/>
      <c r="E6556" s="1"/>
      <c r="F6556" s="1"/>
      <c r="G6556" s="1"/>
    </row>
    <row r="6557" spans="1:26" customHeight="1" ht="35" hidden="true" outlineLevel="2">
      <c r="A6557" s="5" t="s">
        <v>12404</v>
      </c>
      <c r="B6557" s="5"/>
      <c r="C6557" s="5"/>
      <c r="D6557" s="5"/>
      <c r="E6557" s="5"/>
      <c r="F6557" s="5"/>
      <c r="G6557" s="5"/>
    </row>
    <row r="6558" spans="1:26" customHeight="1" ht="18" hidden="true" outlineLevel="2">
      <c r="A6558" s="2" t="s">
        <v>12405</v>
      </c>
      <c r="B6558" s="3" t="s">
        <v>12406</v>
      </c>
      <c r="C6558" s="2"/>
      <c r="D6558" s="2" t="s">
        <v>16</v>
      </c>
      <c r="E6558" s="4">
        <f>65.55*(1-Z1%)</f>
        <v>65.55</v>
      </c>
      <c r="F6558" s="2">
        <v>7</v>
      </c>
      <c r="G6558" s="2"/>
    </row>
    <row r="6559" spans="1:26" customHeight="1" ht="18" hidden="true" outlineLevel="2">
      <c r="A6559" s="2" t="s">
        <v>12407</v>
      </c>
      <c r="B6559" s="3" t="s">
        <v>12408</v>
      </c>
      <c r="C6559" s="2"/>
      <c r="D6559" s="2" t="s">
        <v>16</v>
      </c>
      <c r="E6559" s="4">
        <f>37.60*(1-Z1%)</f>
        <v>37.6</v>
      </c>
      <c r="F6559" s="2">
        <v>9</v>
      </c>
      <c r="G6559" s="2"/>
    </row>
    <row r="6560" spans="1:26" customHeight="1" ht="18" hidden="true" outlineLevel="2">
      <c r="A6560" s="2" t="s">
        <v>12409</v>
      </c>
      <c r="B6560" s="3" t="s">
        <v>12410</v>
      </c>
      <c r="C6560" s="2"/>
      <c r="D6560" s="2" t="s">
        <v>16</v>
      </c>
      <c r="E6560" s="4">
        <f>69.27*(1-Z1%)</f>
        <v>69.27</v>
      </c>
      <c r="F6560" s="2">
        <v>10</v>
      </c>
      <c r="G6560" s="2"/>
    </row>
    <row r="6561" spans="1:26" customHeight="1" ht="18" hidden="true" outlineLevel="2">
      <c r="A6561" s="2" t="s">
        <v>12411</v>
      </c>
      <c r="B6561" s="3" t="s">
        <v>12412</v>
      </c>
      <c r="C6561" s="2"/>
      <c r="D6561" s="2" t="s">
        <v>16</v>
      </c>
      <c r="E6561" s="4">
        <f>73.22*(1-Z1%)</f>
        <v>73.22</v>
      </c>
      <c r="F6561" s="2">
        <v>8</v>
      </c>
      <c r="G6561" s="2"/>
    </row>
    <row r="6562" spans="1:26" customHeight="1" ht="18" hidden="true" outlineLevel="2">
      <c r="A6562" s="2" t="s">
        <v>12413</v>
      </c>
      <c r="B6562" s="3" t="s">
        <v>12414</v>
      </c>
      <c r="C6562" s="2"/>
      <c r="D6562" s="2" t="s">
        <v>16</v>
      </c>
      <c r="E6562" s="4">
        <f>69.58*(1-Z1%)</f>
        <v>69.58</v>
      </c>
      <c r="F6562" s="2">
        <v>8</v>
      </c>
      <c r="G6562" s="2"/>
    </row>
    <row r="6563" spans="1:26" customHeight="1" ht="18" hidden="true" outlineLevel="2">
      <c r="A6563" s="2" t="s">
        <v>12415</v>
      </c>
      <c r="B6563" s="3" t="s">
        <v>12416</v>
      </c>
      <c r="C6563" s="2"/>
      <c r="D6563" s="2" t="s">
        <v>16</v>
      </c>
      <c r="E6563" s="4">
        <f>57.42*(1-Z1%)</f>
        <v>57.42</v>
      </c>
      <c r="F6563" s="2">
        <v>8</v>
      </c>
      <c r="G6563" s="2"/>
    </row>
    <row r="6564" spans="1:26" customHeight="1" ht="18" hidden="true" outlineLevel="2">
      <c r="A6564" s="2" t="s">
        <v>12417</v>
      </c>
      <c r="B6564" s="3" t="s">
        <v>12418</v>
      </c>
      <c r="C6564" s="2"/>
      <c r="D6564" s="2" t="s">
        <v>16</v>
      </c>
      <c r="E6564" s="4">
        <f>114.71*(1-Z1%)</f>
        <v>114.71</v>
      </c>
      <c r="F6564" s="2">
        <v>7</v>
      </c>
      <c r="G6564" s="2"/>
    </row>
    <row r="6565" spans="1:26" customHeight="1" ht="18" hidden="true" outlineLevel="2">
      <c r="A6565" s="2" t="s">
        <v>12419</v>
      </c>
      <c r="B6565" s="3" t="s">
        <v>12420</v>
      </c>
      <c r="C6565" s="2"/>
      <c r="D6565" s="2" t="s">
        <v>16</v>
      </c>
      <c r="E6565" s="4">
        <f>92.52*(1-Z1%)</f>
        <v>92.52</v>
      </c>
      <c r="F6565" s="2">
        <v>3</v>
      </c>
      <c r="G6565" s="2"/>
    </row>
    <row r="6566" spans="1:26" customHeight="1" ht="18" hidden="true" outlineLevel="2">
      <c r="A6566" s="2" t="s">
        <v>12421</v>
      </c>
      <c r="B6566" s="3" t="s">
        <v>12422</v>
      </c>
      <c r="C6566" s="2"/>
      <c r="D6566" s="2" t="s">
        <v>16</v>
      </c>
      <c r="E6566" s="4">
        <f>222.69*(1-Z1%)</f>
        <v>222.69</v>
      </c>
      <c r="F6566" s="2">
        <v>7</v>
      </c>
      <c r="G6566" s="2"/>
    </row>
    <row r="6567" spans="1:26" customHeight="1" ht="35" hidden="true" outlineLevel="2">
      <c r="A6567" s="5" t="s">
        <v>12423</v>
      </c>
      <c r="B6567" s="5"/>
      <c r="C6567" s="5"/>
      <c r="D6567" s="5"/>
      <c r="E6567" s="5"/>
      <c r="F6567" s="5"/>
      <c r="G6567" s="5"/>
    </row>
    <row r="6568" spans="1:26" customHeight="1" ht="35" hidden="true" outlineLevel="3">
      <c r="A6568" s="5" t="s">
        <v>12424</v>
      </c>
      <c r="B6568" s="5"/>
      <c r="C6568" s="5"/>
      <c r="D6568" s="5"/>
      <c r="E6568" s="5"/>
      <c r="F6568" s="5"/>
      <c r="G6568" s="5"/>
    </row>
    <row r="6569" spans="1:26" customHeight="1" ht="36" hidden="true" outlineLevel="3">
      <c r="A6569" s="2" t="s">
        <v>12425</v>
      </c>
      <c r="B6569" s="3" t="s">
        <v>12426</v>
      </c>
      <c r="C6569" s="2"/>
      <c r="D6569" s="2" t="s">
        <v>16</v>
      </c>
      <c r="E6569" s="4">
        <f>9.90*(1-Z1%)</f>
        <v>9.9</v>
      </c>
      <c r="F6569" s="2">
        <v>30</v>
      </c>
      <c r="G6569" s="2"/>
    </row>
    <row r="6570" spans="1:26" customHeight="1" ht="36" hidden="true" outlineLevel="3">
      <c r="A6570" s="2" t="s">
        <v>12427</v>
      </c>
      <c r="B6570" s="3" t="s">
        <v>12428</v>
      </c>
      <c r="C6570" s="2"/>
      <c r="D6570" s="2" t="s">
        <v>16</v>
      </c>
      <c r="E6570" s="4">
        <f>34.65*(1-Z1%)</f>
        <v>34.65</v>
      </c>
      <c r="F6570" s="2">
        <v>1</v>
      </c>
      <c r="G6570" s="2"/>
    </row>
    <row r="6571" spans="1:26" customHeight="1" ht="18" hidden="true" outlineLevel="3">
      <c r="A6571" s="2" t="s">
        <v>12429</v>
      </c>
      <c r="B6571" s="3" t="s">
        <v>12430</v>
      </c>
      <c r="C6571" s="2"/>
      <c r="D6571" s="2" t="s">
        <v>16</v>
      </c>
      <c r="E6571" s="4">
        <f>93.18*(1-Z1%)</f>
        <v>93.18</v>
      </c>
      <c r="F6571" s="2">
        <v>5</v>
      </c>
      <c r="G6571" s="2"/>
    </row>
    <row r="6572" spans="1:26" customHeight="1" ht="18" hidden="true" outlineLevel="3">
      <c r="A6572" s="2" t="s">
        <v>12431</v>
      </c>
      <c r="B6572" s="3" t="s">
        <v>12432</v>
      </c>
      <c r="C6572" s="2"/>
      <c r="D6572" s="2" t="s">
        <v>16</v>
      </c>
      <c r="E6572" s="4">
        <f>69.26*(1-Z1%)</f>
        <v>69.26</v>
      </c>
      <c r="F6572" s="2">
        <v>2</v>
      </c>
      <c r="G6572" s="2"/>
    </row>
    <row r="6573" spans="1:26" customHeight="1" ht="35" hidden="true" outlineLevel="3">
      <c r="A6573" s="5" t="s">
        <v>12433</v>
      </c>
      <c r="B6573" s="5"/>
      <c r="C6573" s="5"/>
      <c r="D6573" s="5"/>
      <c r="E6573" s="5"/>
      <c r="F6573" s="5"/>
      <c r="G6573" s="5"/>
    </row>
    <row r="6574" spans="1:26" customHeight="1" ht="18" hidden="true" outlineLevel="3">
      <c r="A6574" s="2" t="s">
        <v>12434</v>
      </c>
      <c r="B6574" s="3" t="s">
        <v>12435</v>
      </c>
      <c r="C6574" s="2"/>
      <c r="D6574" s="2" t="s">
        <v>16</v>
      </c>
      <c r="E6574" s="4">
        <f>42.63*(1-Z1%)</f>
        <v>42.63</v>
      </c>
      <c r="F6574" s="2">
        <v>9</v>
      </c>
      <c r="G6574" s="2"/>
    </row>
    <row r="6575" spans="1:26" customHeight="1" ht="18" hidden="true" outlineLevel="3">
      <c r="A6575" s="2" t="s">
        <v>12436</v>
      </c>
      <c r="B6575" s="3" t="s">
        <v>12437</v>
      </c>
      <c r="C6575" s="2"/>
      <c r="D6575" s="2" t="s">
        <v>16</v>
      </c>
      <c r="E6575" s="4">
        <f>28.74*(1-Z1%)</f>
        <v>28.74</v>
      </c>
      <c r="F6575" s="2">
        <v>2</v>
      </c>
      <c r="G6575" s="2"/>
    </row>
    <row r="6576" spans="1:26" customHeight="1" ht="18" hidden="true" outlineLevel="3">
      <c r="A6576" s="2" t="s">
        <v>12438</v>
      </c>
      <c r="B6576" s="3" t="s">
        <v>12439</v>
      </c>
      <c r="C6576" s="2"/>
      <c r="D6576" s="2" t="s">
        <v>16</v>
      </c>
      <c r="E6576" s="4">
        <f>49.63*(1-Z1%)</f>
        <v>49.63</v>
      </c>
      <c r="F6576" s="2">
        <v>1</v>
      </c>
      <c r="G6576" s="2"/>
    </row>
    <row r="6577" spans="1:26" customHeight="1" ht="18" hidden="true" outlineLevel="3">
      <c r="A6577" s="2" t="s">
        <v>12440</v>
      </c>
      <c r="B6577" s="3" t="s">
        <v>12441</v>
      </c>
      <c r="C6577" s="2"/>
      <c r="D6577" s="2" t="s">
        <v>16</v>
      </c>
      <c r="E6577" s="4">
        <f>33.13*(1-Z1%)</f>
        <v>33.13</v>
      </c>
      <c r="F6577" s="2">
        <v>1</v>
      </c>
      <c r="G6577" s="2"/>
    </row>
    <row r="6578" spans="1:26" customHeight="1" ht="18" hidden="true" outlineLevel="3">
      <c r="A6578" s="2" t="s">
        <v>12442</v>
      </c>
      <c r="B6578" s="3" t="s">
        <v>12443</v>
      </c>
      <c r="C6578" s="2"/>
      <c r="D6578" s="2" t="s">
        <v>16</v>
      </c>
      <c r="E6578" s="4">
        <f>11.74*(1-Z1%)</f>
        <v>11.74</v>
      </c>
      <c r="F6578" s="2">
        <v>9</v>
      </c>
      <c r="G6578" s="2"/>
    </row>
    <row r="6579" spans="1:26" customHeight="1" ht="18" hidden="true" outlineLevel="3">
      <c r="A6579" s="2" t="s">
        <v>12444</v>
      </c>
      <c r="B6579" s="3" t="s">
        <v>12445</v>
      </c>
      <c r="C6579" s="2"/>
      <c r="D6579" s="2" t="s">
        <v>16</v>
      </c>
      <c r="E6579" s="4">
        <f>26.13*(1-Z1%)</f>
        <v>26.13</v>
      </c>
      <c r="F6579" s="2">
        <v>8</v>
      </c>
      <c r="G6579" s="2"/>
    </row>
    <row r="6580" spans="1:26" customHeight="1" ht="18" hidden="true" outlineLevel="3">
      <c r="A6580" s="2" t="s">
        <v>12446</v>
      </c>
      <c r="B6580" s="3" t="s">
        <v>12447</v>
      </c>
      <c r="C6580" s="2"/>
      <c r="D6580" s="2" t="s">
        <v>16</v>
      </c>
      <c r="E6580" s="4">
        <f>28.49*(1-Z1%)</f>
        <v>28.49</v>
      </c>
      <c r="F6580" s="2">
        <v>5</v>
      </c>
      <c r="G6580" s="2"/>
    </row>
    <row r="6581" spans="1:26" customHeight="1" ht="18" hidden="true" outlineLevel="3">
      <c r="A6581" s="2" t="s">
        <v>12448</v>
      </c>
      <c r="B6581" s="3" t="s">
        <v>12449</v>
      </c>
      <c r="C6581" s="2"/>
      <c r="D6581" s="2" t="s">
        <v>16</v>
      </c>
      <c r="E6581" s="4">
        <f>25.34*(1-Z1%)</f>
        <v>25.34</v>
      </c>
      <c r="F6581" s="2">
        <v>2</v>
      </c>
      <c r="G6581" s="2"/>
    </row>
    <row r="6582" spans="1:26" customHeight="1" ht="18" hidden="true" outlineLevel="3">
      <c r="A6582" s="2" t="s">
        <v>12450</v>
      </c>
      <c r="B6582" s="3" t="s">
        <v>12451</v>
      </c>
      <c r="C6582" s="2"/>
      <c r="D6582" s="2" t="s">
        <v>16</v>
      </c>
      <c r="E6582" s="4">
        <f>12.05*(1-Z1%)</f>
        <v>12.05</v>
      </c>
      <c r="F6582" s="2">
        <v>10</v>
      </c>
      <c r="G6582" s="2"/>
    </row>
    <row r="6583" spans="1:26" customHeight="1" ht="18" hidden="true" outlineLevel="3">
      <c r="A6583" s="2" t="s">
        <v>12452</v>
      </c>
      <c r="B6583" s="3" t="s">
        <v>12453</v>
      </c>
      <c r="C6583" s="2"/>
      <c r="D6583" s="2" t="s">
        <v>16</v>
      </c>
      <c r="E6583" s="4">
        <f>16.34*(1-Z1%)</f>
        <v>16.34</v>
      </c>
      <c r="F6583" s="2">
        <v>4</v>
      </c>
      <c r="G6583" s="2"/>
    </row>
    <row r="6584" spans="1:26" customHeight="1" ht="18" hidden="true" outlineLevel="3">
      <c r="A6584" s="2" t="s">
        <v>12454</v>
      </c>
      <c r="B6584" s="3" t="s">
        <v>12455</v>
      </c>
      <c r="C6584" s="2"/>
      <c r="D6584" s="2" t="s">
        <v>16</v>
      </c>
      <c r="E6584" s="4">
        <f>12.71*(1-Z1%)</f>
        <v>12.71</v>
      </c>
      <c r="F6584" s="2">
        <v>9</v>
      </c>
      <c r="G6584" s="2"/>
    </row>
    <row r="6585" spans="1:26" customHeight="1" ht="18" hidden="true" outlineLevel="3">
      <c r="A6585" s="2" t="s">
        <v>12456</v>
      </c>
      <c r="B6585" s="3" t="s">
        <v>12457</v>
      </c>
      <c r="C6585" s="2"/>
      <c r="D6585" s="2" t="s">
        <v>16</v>
      </c>
      <c r="E6585" s="4">
        <f>26.64*(1-Z1%)</f>
        <v>26.64</v>
      </c>
      <c r="F6585" s="2">
        <v>45</v>
      </c>
      <c r="G6585" s="2"/>
    </row>
    <row r="6586" spans="1:26" customHeight="1" ht="18" hidden="true" outlineLevel="3">
      <c r="A6586" s="2" t="s">
        <v>12458</v>
      </c>
      <c r="B6586" s="3" t="s">
        <v>12459</v>
      </c>
      <c r="C6586" s="2"/>
      <c r="D6586" s="2" t="s">
        <v>16</v>
      </c>
      <c r="E6586" s="4">
        <f>24.28*(1-Z1%)</f>
        <v>24.28</v>
      </c>
      <c r="F6586" s="2">
        <v>9</v>
      </c>
      <c r="G6586" s="2"/>
    </row>
    <row r="6587" spans="1:26" customHeight="1" ht="36" hidden="true" outlineLevel="3">
      <c r="A6587" s="2" t="s">
        <v>12460</v>
      </c>
      <c r="B6587" s="3" t="s">
        <v>12461</v>
      </c>
      <c r="C6587" s="2"/>
      <c r="D6587" s="2" t="s">
        <v>16</v>
      </c>
      <c r="E6587" s="4">
        <f>53.38*(1-Z1%)</f>
        <v>53.38</v>
      </c>
      <c r="F6587" s="2">
        <v>7</v>
      </c>
      <c r="G6587" s="2"/>
    </row>
    <row r="6588" spans="1:26" customHeight="1" ht="36" hidden="true" outlineLevel="3">
      <c r="A6588" s="2" t="s">
        <v>12462</v>
      </c>
      <c r="B6588" s="3" t="s">
        <v>12463</v>
      </c>
      <c r="C6588" s="2"/>
      <c r="D6588" s="2" t="s">
        <v>16</v>
      </c>
      <c r="E6588" s="4">
        <f>42.34*(1-Z1%)</f>
        <v>42.34</v>
      </c>
      <c r="F6588" s="2">
        <v>25</v>
      </c>
      <c r="G6588" s="2"/>
    </row>
    <row r="6589" spans="1:26" customHeight="1" ht="36" hidden="true" outlineLevel="3">
      <c r="A6589" s="2" t="s">
        <v>12464</v>
      </c>
      <c r="B6589" s="3" t="s">
        <v>12465</v>
      </c>
      <c r="C6589" s="2"/>
      <c r="D6589" s="2" t="s">
        <v>16</v>
      </c>
      <c r="E6589" s="4">
        <f>55.50*(1-Z1%)</f>
        <v>55.5</v>
      </c>
      <c r="F6589" s="2">
        <v>4</v>
      </c>
      <c r="G6589" s="2"/>
    </row>
    <row r="6590" spans="1:26" customHeight="1" ht="36" hidden="true" outlineLevel="3">
      <c r="A6590" s="2" t="s">
        <v>12466</v>
      </c>
      <c r="B6590" s="3" t="s">
        <v>12465</v>
      </c>
      <c r="C6590" s="2"/>
      <c r="D6590" s="2" t="s">
        <v>16</v>
      </c>
      <c r="E6590" s="4">
        <f>53.38*(1-Z1%)</f>
        <v>53.38</v>
      </c>
      <c r="F6590" s="2">
        <v>3</v>
      </c>
      <c r="G6590" s="2"/>
    </row>
    <row r="6591" spans="1:26" customHeight="1" ht="36" hidden="true" outlineLevel="3">
      <c r="A6591" s="2" t="s">
        <v>12467</v>
      </c>
      <c r="B6591" s="3" t="s">
        <v>12468</v>
      </c>
      <c r="C6591" s="2"/>
      <c r="D6591" s="2" t="s">
        <v>16</v>
      </c>
      <c r="E6591" s="4">
        <f>82.82*(1-Z1%)</f>
        <v>82.82</v>
      </c>
      <c r="F6591" s="2">
        <v>20</v>
      </c>
      <c r="G6591" s="2"/>
    </row>
    <row r="6592" spans="1:26" customHeight="1" ht="36" hidden="true" outlineLevel="3">
      <c r="A6592" s="2" t="s">
        <v>12469</v>
      </c>
      <c r="B6592" s="3" t="s">
        <v>12470</v>
      </c>
      <c r="C6592" s="2"/>
      <c r="D6592" s="2" t="s">
        <v>16</v>
      </c>
      <c r="E6592" s="4">
        <f>77.06*(1-Z1%)</f>
        <v>77.06</v>
      </c>
      <c r="F6592" s="2">
        <v>3</v>
      </c>
      <c r="G6592" s="2"/>
    </row>
    <row r="6593" spans="1:26" customHeight="1" ht="18" hidden="true" outlineLevel="3">
      <c r="A6593" s="2" t="s">
        <v>12471</v>
      </c>
      <c r="B6593" s="3" t="s">
        <v>12472</v>
      </c>
      <c r="C6593" s="2"/>
      <c r="D6593" s="2" t="s">
        <v>16</v>
      </c>
      <c r="E6593" s="4">
        <f>10.25*(1-Z1%)</f>
        <v>10.25</v>
      </c>
      <c r="F6593" s="2">
        <v>50</v>
      </c>
      <c r="G6593" s="2"/>
    </row>
    <row r="6594" spans="1:26" customHeight="1" ht="18" hidden="true" outlineLevel="3">
      <c r="A6594" s="2" t="s">
        <v>12473</v>
      </c>
      <c r="B6594" s="3" t="s">
        <v>12474</v>
      </c>
      <c r="C6594" s="2"/>
      <c r="D6594" s="2" t="s">
        <v>16</v>
      </c>
      <c r="E6594" s="4">
        <f>11.05*(1-Z1%)</f>
        <v>11.05</v>
      </c>
      <c r="F6594" s="2">
        <v>8</v>
      </c>
      <c r="G6594" s="2"/>
    </row>
    <row r="6595" spans="1:26" customHeight="1" ht="18" hidden="true" outlineLevel="3">
      <c r="A6595" s="2" t="s">
        <v>12475</v>
      </c>
      <c r="B6595" s="3" t="s">
        <v>12476</v>
      </c>
      <c r="C6595" s="2"/>
      <c r="D6595" s="2" t="s">
        <v>16</v>
      </c>
      <c r="E6595" s="4">
        <f>11.18*(1-Z1%)</f>
        <v>11.18</v>
      </c>
      <c r="F6595" s="2">
        <v>6</v>
      </c>
      <c r="G6595" s="2"/>
    </row>
    <row r="6596" spans="1:26" customHeight="1" ht="18" hidden="true" outlineLevel="3">
      <c r="A6596" s="2" t="s">
        <v>12477</v>
      </c>
      <c r="B6596" s="3" t="s">
        <v>12478</v>
      </c>
      <c r="C6596" s="2"/>
      <c r="D6596" s="2" t="s">
        <v>16</v>
      </c>
      <c r="E6596" s="4">
        <f>26.19*(1-Z1%)</f>
        <v>26.19</v>
      </c>
      <c r="F6596" s="2">
        <v>3</v>
      </c>
      <c r="G6596" s="2"/>
    </row>
    <row r="6597" spans="1:26" customHeight="1" ht="36" hidden="true" outlineLevel="3">
      <c r="A6597" s="2" t="s">
        <v>12479</v>
      </c>
      <c r="B6597" s="3" t="s">
        <v>12480</v>
      </c>
      <c r="C6597" s="2"/>
      <c r="D6597" s="2" t="s">
        <v>16</v>
      </c>
      <c r="E6597" s="4">
        <f>45.24*(1-Z1%)</f>
        <v>45.24</v>
      </c>
      <c r="F6597" s="2">
        <v>2</v>
      </c>
      <c r="G6597" s="2"/>
    </row>
    <row r="6598" spans="1:26" customHeight="1" ht="36" hidden="true" outlineLevel="3">
      <c r="A6598" s="2" t="s">
        <v>12481</v>
      </c>
      <c r="B6598" s="3" t="s">
        <v>12482</v>
      </c>
      <c r="C6598" s="2"/>
      <c r="D6598" s="2" t="s">
        <v>16</v>
      </c>
      <c r="E6598" s="4">
        <f>52.42*(1-Z1%)</f>
        <v>52.42</v>
      </c>
      <c r="F6598" s="2">
        <v>13</v>
      </c>
      <c r="G6598" s="2"/>
    </row>
    <row r="6599" spans="1:26" customHeight="1" ht="36" hidden="true" outlineLevel="3">
      <c r="A6599" s="2" t="s">
        <v>12483</v>
      </c>
      <c r="B6599" s="3" t="s">
        <v>12484</v>
      </c>
      <c r="C6599" s="2"/>
      <c r="D6599" s="2" t="s">
        <v>16</v>
      </c>
      <c r="E6599" s="4">
        <f>83.36*(1-Z1%)</f>
        <v>83.36</v>
      </c>
      <c r="F6599" s="2">
        <v>2</v>
      </c>
      <c r="G6599" s="2"/>
    </row>
    <row r="6600" spans="1:26" customHeight="1" ht="18" hidden="true" outlineLevel="3">
      <c r="A6600" s="2" t="s">
        <v>12485</v>
      </c>
      <c r="B6600" s="3" t="s">
        <v>12486</v>
      </c>
      <c r="C6600" s="2"/>
      <c r="D6600" s="2" t="s">
        <v>16</v>
      </c>
      <c r="E6600" s="4">
        <f>50.41*(1-Z1%)</f>
        <v>50.41</v>
      </c>
      <c r="F6600" s="2">
        <v>2</v>
      </c>
      <c r="G6600" s="2"/>
    </row>
    <row r="6601" spans="1:26" customHeight="1" ht="35" hidden="true" outlineLevel="3">
      <c r="A6601" s="5" t="s">
        <v>12487</v>
      </c>
      <c r="B6601" s="5"/>
      <c r="C6601" s="5"/>
      <c r="D6601" s="5"/>
      <c r="E6601" s="5"/>
      <c r="F6601" s="5"/>
      <c r="G6601" s="5"/>
    </row>
    <row r="6602" spans="1:26" customHeight="1" ht="36" hidden="true" outlineLevel="3">
      <c r="A6602" s="2" t="s">
        <v>12488</v>
      </c>
      <c r="B6602" s="3" t="s">
        <v>12489</v>
      </c>
      <c r="C6602" s="2"/>
      <c r="D6602" s="2" t="s">
        <v>16</v>
      </c>
      <c r="E6602" s="4">
        <f>33.17*(1-Z1%)</f>
        <v>33.17</v>
      </c>
      <c r="F6602" s="2">
        <v>1</v>
      </c>
      <c r="G6602" s="2"/>
    </row>
    <row r="6603" spans="1:26" customHeight="1" ht="18" hidden="true" outlineLevel="3">
      <c r="A6603" s="2" t="s">
        <v>12490</v>
      </c>
      <c r="B6603" s="3" t="s">
        <v>12491</v>
      </c>
      <c r="C6603" s="2"/>
      <c r="D6603" s="2" t="s">
        <v>16</v>
      </c>
      <c r="E6603" s="4">
        <f>12.86*(1-Z1%)</f>
        <v>12.86</v>
      </c>
      <c r="F6603" s="2">
        <v>40</v>
      </c>
      <c r="G6603" s="2"/>
    </row>
    <row r="6604" spans="1:26" customHeight="1" ht="18" hidden="true" outlineLevel="3">
      <c r="A6604" s="2" t="s">
        <v>12492</v>
      </c>
      <c r="B6604" s="3" t="s">
        <v>12493</v>
      </c>
      <c r="C6604" s="2"/>
      <c r="D6604" s="2" t="s">
        <v>16</v>
      </c>
      <c r="E6604" s="4">
        <f>7.23*(1-Z1%)</f>
        <v>7.23</v>
      </c>
      <c r="F6604" s="2">
        <v>60</v>
      </c>
      <c r="G6604" s="2"/>
    </row>
    <row r="6605" spans="1:26" customHeight="1" ht="35" hidden="true" outlineLevel="2">
      <c r="A6605" s="5" t="s">
        <v>12494</v>
      </c>
      <c r="B6605" s="5"/>
      <c r="C6605" s="5"/>
      <c r="D6605" s="5"/>
      <c r="E6605" s="5"/>
      <c r="F6605" s="5"/>
      <c r="G6605" s="5"/>
    </row>
    <row r="6606" spans="1:26" customHeight="1" ht="35" hidden="true" outlineLevel="3">
      <c r="A6606" s="5" t="s">
        <v>12495</v>
      </c>
      <c r="B6606" s="5"/>
      <c r="C6606" s="5"/>
      <c r="D6606" s="5"/>
      <c r="E6606" s="5"/>
      <c r="F6606" s="5"/>
      <c r="G6606" s="5"/>
    </row>
    <row r="6607" spans="1:26" customHeight="1" ht="18" hidden="true" outlineLevel="3">
      <c r="A6607" s="2" t="s">
        <v>12496</v>
      </c>
      <c r="B6607" s="3" t="s">
        <v>12497</v>
      </c>
      <c r="C6607" s="2"/>
      <c r="D6607" s="2" t="s">
        <v>16</v>
      </c>
      <c r="E6607" s="4">
        <f>506.30*(1-Z1%)</f>
        <v>506.3</v>
      </c>
      <c r="F6607" s="2">
        <v>2</v>
      </c>
      <c r="G6607" s="2"/>
    </row>
    <row r="6608" spans="1:26" customHeight="1" ht="35" hidden="true" outlineLevel="3">
      <c r="A6608" s="5" t="s">
        <v>12498</v>
      </c>
      <c r="B6608" s="5"/>
      <c r="C6608" s="5"/>
      <c r="D6608" s="5"/>
      <c r="E6608" s="5"/>
      <c r="F6608" s="5"/>
      <c r="G6608" s="5"/>
    </row>
    <row r="6609" spans="1:26" customHeight="1" ht="36" hidden="true" outlineLevel="3">
      <c r="A6609" s="2" t="s">
        <v>12499</v>
      </c>
      <c r="B6609" s="3" t="s">
        <v>12500</v>
      </c>
      <c r="C6609" s="2"/>
      <c r="D6609" s="2" t="s">
        <v>16</v>
      </c>
      <c r="E6609" s="4">
        <f>151.97*(1-Z1%)</f>
        <v>151.97</v>
      </c>
      <c r="F6609" s="2">
        <v>2</v>
      </c>
      <c r="G6609" s="2"/>
    </row>
    <row r="6610" spans="1:26" customHeight="1" ht="36" hidden="true" outlineLevel="3">
      <c r="A6610" s="2" t="s">
        <v>12501</v>
      </c>
      <c r="B6610" s="3" t="s">
        <v>12502</v>
      </c>
      <c r="C6610" s="2"/>
      <c r="D6610" s="2" t="s">
        <v>16</v>
      </c>
      <c r="E6610" s="4">
        <f>209.27*(1-Z1%)</f>
        <v>209.27</v>
      </c>
      <c r="F6610" s="2">
        <v>5</v>
      </c>
      <c r="G6610" s="2"/>
    </row>
    <row r="6611" spans="1:26" customHeight="1" ht="36" hidden="true" outlineLevel="3">
      <c r="A6611" s="2" t="s">
        <v>12503</v>
      </c>
      <c r="B6611" s="3" t="s">
        <v>12504</v>
      </c>
      <c r="C6611" s="2"/>
      <c r="D6611" s="2" t="s">
        <v>16</v>
      </c>
      <c r="E6611" s="4">
        <f>145.55*(1-Z1%)</f>
        <v>145.55</v>
      </c>
      <c r="F6611" s="2">
        <v>2</v>
      </c>
      <c r="G6611" s="2"/>
    </row>
    <row r="6612" spans="1:26" customHeight="1" ht="36" hidden="true" outlineLevel="3">
      <c r="A6612" s="2" t="s">
        <v>12505</v>
      </c>
      <c r="B6612" s="3" t="s">
        <v>12506</v>
      </c>
      <c r="C6612" s="2"/>
      <c r="D6612" s="2" t="s">
        <v>16</v>
      </c>
      <c r="E6612" s="4">
        <f>106.82*(1-Z1%)</f>
        <v>106.82</v>
      </c>
      <c r="F6612" s="2">
        <v>3</v>
      </c>
      <c r="G6612" s="2"/>
    </row>
    <row r="6613" spans="1:26" customHeight="1" ht="36" hidden="true" outlineLevel="3">
      <c r="A6613" s="2" t="s">
        <v>12507</v>
      </c>
      <c r="B6613" s="3" t="s">
        <v>12508</v>
      </c>
      <c r="C6613" s="2"/>
      <c r="D6613" s="2" t="s">
        <v>16</v>
      </c>
      <c r="E6613" s="4">
        <f>149.67*(1-Z1%)</f>
        <v>149.67</v>
      </c>
      <c r="F6613" s="2">
        <v>4</v>
      </c>
      <c r="G6613" s="2"/>
    </row>
    <row r="6614" spans="1:26" customHeight="1" ht="18" hidden="true" outlineLevel="3">
      <c r="A6614" s="2" t="s">
        <v>12509</v>
      </c>
      <c r="B6614" s="3" t="s">
        <v>12510</v>
      </c>
      <c r="C6614" s="2"/>
      <c r="D6614" s="2" t="s">
        <v>16</v>
      </c>
      <c r="E6614" s="4">
        <f>80.44*(1-Z1%)</f>
        <v>80.44</v>
      </c>
      <c r="F6614" s="2">
        <v>4</v>
      </c>
      <c r="G6614" s="2"/>
    </row>
    <row r="6615" spans="1:26" customHeight="1" ht="36" hidden="true" outlineLevel="3">
      <c r="A6615" s="2" t="s">
        <v>12511</v>
      </c>
      <c r="B6615" s="3" t="s">
        <v>12512</v>
      </c>
      <c r="C6615" s="2"/>
      <c r="D6615" s="2" t="s">
        <v>16</v>
      </c>
      <c r="E6615" s="4">
        <f>100.76*(1-Z1%)</f>
        <v>100.76</v>
      </c>
      <c r="F6615" s="2">
        <v>5</v>
      </c>
      <c r="G6615" s="2"/>
    </row>
    <row r="6616" spans="1:26" customHeight="1" ht="18" hidden="true" outlineLevel="3">
      <c r="A6616" s="2" t="s">
        <v>12513</v>
      </c>
      <c r="B6616" s="3" t="s">
        <v>12514</v>
      </c>
      <c r="C6616" s="2"/>
      <c r="D6616" s="2" t="s">
        <v>16</v>
      </c>
      <c r="E6616" s="4">
        <f>80.44*(1-Z1%)</f>
        <v>80.44</v>
      </c>
      <c r="F6616" s="2">
        <v>7</v>
      </c>
      <c r="G6616" s="2"/>
    </row>
    <row r="6617" spans="1:26" customHeight="1" ht="36" hidden="true" outlineLevel="3">
      <c r="A6617" s="2" t="s">
        <v>12515</v>
      </c>
      <c r="B6617" s="3" t="s">
        <v>12516</v>
      </c>
      <c r="C6617" s="2"/>
      <c r="D6617" s="2" t="s">
        <v>16</v>
      </c>
      <c r="E6617" s="4">
        <f>99.08*(1-Z1%)</f>
        <v>99.08</v>
      </c>
      <c r="F6617" s="2">
        <v>2</v>
      </c>
      <c r="G6617" s="2"/>
    </row>
    <row r="6618" spans="1:26" customHeight="1" ht="36" hidden="true" outlineLevel="3">
      <c r="A6618" s="2" t="s">
        <v>12517</v>
      </c>
      <c r="B6618" s="3" t="s">
        <v>12518</v>
      </c>
      <c r="C6618" s="2"/>
      <c r="D6618" s="2" t="s">
        <v>16</v>
      </c>
      <c r="E6618" s="4">
        <f>174.65*(1-Z1%)</f>
        <v>174.65</v>
      </c>
      <c r="F6618" s="2">
        <v>2</v>
      </c>
      <c r="G6618" s="2"/>
    </row>
    <row r="6619" spans="1:26" customHeight="1" ht="18" hidden="true" outlineLevel="3">
      <c r="A6619" s="2" t="s">
        <v>12519</v>
      </c>
      <c r="B6619" s="3" t="s">
        <v>12520</v>
      </c>
      <c r="C6619" s="2"/>
      <c r="D6619" s="2" t="s">
        <v>16</v>
      </c>
      <c r="E6619" s="4">
        <f>123.75*(1-Z1%)</f>
        <v>123.75</v>
      </c>
      <c r="F6619" s="2">
        <v>8</v>
      </c>
      <c r="G6619" s="2"/>
    </row>
    <row r="6620" spans="1:26" customHeight="1" ht="18" hidden="true" outlineLevel="3">
      <c r="A6620" s="2" t="s">
        <v>12521</v>
      </c>
      <c r="B6620" s="3" t="s">
        <v>12522</v>
      </c>
      <c r="C6620" s="2"/>
      <c r="D6620" s="2" t="s">
        <v>16</v>
      </c>
      <c r="E6620" s="4">
        <f>80.44*(1-Z1%)</f>
        <v>80.44</v>
      </c>
      <c r="F6620" s="2">
        <v>6</v>
      </c>
      <c r="G6620" s="2"/>
    </row>
    <row r="6621" spans="1:26" customHeight="1" ht="36" hidden="true" outlineLevel="3">
      <c r="A6621" s="2" t="s">
        <v>12523</v>
      </c>
      <c r="B6621" s="3" t="s">
        <v>12524</v>
      </c>
      <c r="C6621" s="2"/>
      <c r="D6621" s="2" t="s">
        <v>16</v>
      </c>
      <c r="E6621" s="4">
        <f>188.33*(1-Z1%)</f>
        <v>188.33</v>
      </c>
      <c r="F6621" s="2">
        <v>1</v>
      </c>
      <c r="G6621" s="2"/>
    </row>
    <row r="6622" spans="1:26" customHeight="1" ht="36" hidden="true" outlineLevel="3">
      <c r="A6622" s="2" t="s">
        <v>12525</v>
      </c>
      <c r="B6622" s="3" t="s">
        <v>12526</v>
      </c>
      <c r="C6622" s="2"/>
      <c r="D6622" s="2" t="s">
        <v>16</v>
      </c>
      <c r="E6622" s="4">
        <f>105.39*(1-Z1%)</f>
        <v>105.39</v>
      </c>
      <c r="F6622" s="2">
        <v>2</v>
      </c>
      <c r="G6622" s="2"/>
    </row>
    <row r="6623" spans="1:26" customHeight="1" ht="36" hidden="true" outlineLevel="3">
      <c r="A6623" s="2" t="s">
        <v>12527</v>
      </c>
      <c r="B6623" s="3" t="s">
        <v>12528</v>
      </c>
      <c r="C6623" s="2"/>
      <c r="D6623" s="2" t="s">
        <v>16</v>
      </c>
      <c r="E6623" s="4">
        <f>167.38*(1-Z1%)</f>
        <v>167.38</v>
      </c>
      <c r="F6623" s="2">
        <v>1</v>
      </c>
      <c r="G6623" s="2"/>
    </row>
    <row r="6624" spans="1:26" customHeight="1" ht="36" hidden="true" outlineLevel="3">
      <c r="A6624" s="2" t="s">
        <v>12529</v>
      </c>
      <c r="B6624" s="3" t="s">
        <v>12530</v>
      </c>
      <c r="C6624" s="2"/>
      <c r="D6624" s="2" t="s">
        <v>16</v>
      </c>
      <c r="E6624" s="4">
        <f>134.50*(1-Z1%)</f>
        <v>134.5</v>
      </c>
      <c r="F6624" s="2">
        <v>14</v>
      </c>
      <c r="G6624" s="2"/>
    </row>
    <row r="6625" spans="1:26" customHeight="1" ht="36" hidden="true" outlineLevel="3">
      <c r="A6625" s="2" t="s">
        <v>12531</v>
      </c>
      <c r="B6625" s="3" t="s">
        <v>12532</v>
      </c>
      <c r="C6625" s="2"/>
      <c r="D6625" s="2" t="s">
        <v>16</v>
      </c>
      <c r="E6625" s="4">
        <f>106.52*(1-Z1%)</f>
        <v>106.52</v>
      </c>
      <c r="F6625" s="2">
        <v>10</v>
      </c>
      <c r="G6625" s="2"/>
    </row>
    <row r="6626" spans="1:26" customHeight="1" ht="36" hidden="true" outlineLevel="3">
      <c r="A6626" s="2" t="s">
        <v>12533</v>
      </c>
      <c r="B6626" s="3" t="s">
        <v>12534</v>
      </c>
      <c r="C6626" s="2"/>
      <c r="D6626" s="2" t="s">
        <v>16</v>
      </c>
      <c r="E6626" s="4">
        <f>99.97*(1-Z1%)</f>
        <v>99.97</v>
      </c>
      <c r="F6626" s="2">
        <v>1</v>
      </c>
      <c r="G6626" s="2"/>
    </row>
    <row r="6627" spans="1:26" customHeight="1" ht="36" hidden="true" outlineLevel="3">
      <c r="A6627" s="2" t="s">
        <v>12535</v>
      </c>
      <c r="B6627" s="3" t="s">
        <v>12536</v>
      </c>
      <c r="C6627" s="2"/>
      <c r="D6627" s="2" t="s">
        <v>16</v>
      </c>
      <c r="E6627" s="4">
        <f>164.20*(1-Z1%)</f>
        <v>164.2</v>
      </c>
      <c r="F6627" s="2">
        <v>5</v>
      </c>
      <c r="G6627" s="2"/>
    </row>
    <row r="6628" spans="1:26" customHeight="1" ht="36" hidden="true" outlineLevel="3">
      <c r="A6628" s="2" t="s">
        <v>12537</v>
      </c>
      <c r="B6628" s="3" t="s">
        <v>12538</v>
      </c>
      <c r="C6628" s="2"/>
      <c r="D6628" s="2" t="s">
        <v>16</v>
      </c>
      <c r="E6628" s="4">
        <f>97.55*(1-Z1%)</f>
        <v>97.55</v>
      </c>
      <c r="F6628" s="2">
        <v>4</v>
      </c>
      <c r="G6628" s="2"/>
    </row>
    <row r="6629" spans="1:26" customHeight="1" ht="36" hidden="true" outlineLevel="3">
      <c r="A6629" s="2" t="s">
        <v>12539</v>
      </c>
      <c r="B6629" s="3" t="s">
        <v>12540</v>
      </c>
      <c r="C6629" s="2"/>
      <c r="D6629" s="2" t="s">
        <v>16</v>
      </c>
      <c r="E6629" s="4">
        <f>118.49*(1-Z1%)</f>
        <v>118.49</v>
      </c>
      <c r="F6629" s="2">
        <v>5</v>
      </c>
      <c r="G6629" s="2"/>
    </row>
    <row r="6630" spans="1:26" customHeight="1" ht="36" hidden="true" outlineLevel="3">
      <c r="A6630" s="2" t="s">
        <v>12541</v>
      </c>
      <c r="B6630" s="3" t="s">
        <v>12542</v>
      </c>
      <c r="C6630" s="2"/>
      <c r="D6630" s="2" t="s">
        <v>16</v>
      </c>
      <c r="E6630" s="4">
        <f>112.94*(1-Z1%)</f>
        <v>112.94</v>
      </c>
      <c r="F6630" s="2">
        <v>10</v>
      </c>
      <c r="G6630" s="2"/>
    </row>
    <row r="6631" spans="1:26" customHeight="1" ht="36" hidden="true" outlineLevel="3">
      <c r="A6631" s="2" t="s">
        <v>12543</v>
      </c>
      <c r="B6631" s="3" t="s">
        <v>12544</v>
      </c>
      <c r="C6631" s="2"/>
      <c r="D6631" s="2" t="s">
        <v>16</v>
      </c>
      <c r="E6631" s="4">
        <f>130.50*(1-Z1%)</f>
        <v>130.5</v>
      </c>
      <c r="F6631" s="2">
        <v>6</v>
      </c>
      <c r="G6631" s="2"/>
    </row>
    <row r="6632" spans="1:26" customHeight="1" ht="18" hidden="true" outlineLevel="3">
      <c r="A6632" s="2" t="s">
        <v>12545</v>
      </c>
      <c r="B6632" s="3" t="s">
        <v>12546</v>
      </c>
      <c r="C6632" s="2"/>
      <c r="D6632" s="2" t="s">
        <v>16</v>
      </c>
      <c r="E6632" s="4">
        <f>160.88*(1-Z1%)</f>
        <v>160.88</v>
      </c>
      <c r="F6632" s="2">
        <v>4</v>
      </c>
      <c r="G6632" s="2"/>
    </row>
    <row r="6633" spans="1:26" customHeight="1" ht="36" hidden="true" outlineLevel="3">
      <c r="A6633" s="2" t="s">
        <v>12547</v>
      </c>
      <c r="B6633" s="3" t="s">
        <v>12548</v>
      </c>
      <c r="C6633" s="2"/>
      <c r="D6633" s="2" t="s">
        <v>16</v>
      </c>
      <c r="E6633" s="4">
        <f>94.17*(1-Z1%)</f>
        <v>94.17</v>
      </c>
      <c r="F6633" s="2">
        <v>4</v>
      </c>
      <c r="G6633" s="2"/>
    </row>
    <row r="6634" spans="1:26" customHeight="1" ht="36" hidden="true" outlineLevel="3">
      <c r="A6634" s="2" t="s">
        <v>12549</v>
      </c>
      <c r="B6634" s="3" t="s">
        <v>12550</v>
      </c>
      <c r="C6634" s="2"/>
      <c r="D6634" s="2" t="s">
        <v>16</v>
      </c>
      <c r="E6634" s="4">
        <f>105.98*(1-Z1%)</f>
        <v>105.98</v>
      </c>
      <c r="F6634" s="2">
        <v>3</v>
      </c>
      <c r="G6634" s="2"/>
    </row>
    <row r="6635" spans="1:26" customHeight="1" ht="36" hidden="true" outlineLevel="3">
      <c r="A6635" s="2" t="s">
        <v>12551</v>
      </c>
      <c r="B6635" s="3" t="s">
        <v>12552</v>
      </c>
      <c r="C6635" s="2"/>
      <c r="D6635" s="2" t="s">
        <v>16</v>
      </c>
      <c r="E6635" s="4">
        <f>134.16*(1-Z1%)</f>
        <v>134.16</v>
      </c>
      <c r="F6635" s="2">
        <v>3</v>
      </c>
      <c r="G6635" s="2"/>
    </row>
    <row r="6636" spans="1:26" customHeight="1" ht="18" hidden="true" outlineLevel="3">
      <c r="A6636" s="2" t="s">
        <v>12553</v>
      </c>
      <c r="B6636" s="3" t="s">
        <v>12554</v>
      </c>
      <c r="C6636" s="2"/>
      <c r="D6636" s="2" t="s">
        <v>16</v>
      </c>
      <c r="E6636" s="4">
        <f>179.44*(1-Z1%)</f>
        <v>179.44</v>
      </c>
      <c r="F6636" s="2">
        <v>2</v>
      </c>
      <c r="G6636" s="2"/>
    </row>
    <row r="6637" spans="1:26" customHeight="1" ht="36" hidden="true" outlineLevel="3">
      <c r="A6637" s="2" t="s">
        <v>12555</v>
      </c>
      <c r="B6637" s="3" t="s">
        <v>12556</v>
      </c>
      <c r="C6637" s="2"/>
      <c r="D6637" s="2" t="s">
        <v>16</v>
      </c>
      <c r="E6637" s="4">
        <f>254.39*(1-Z1%)</f>
        <v>254.39</v>
      </c>
      <c r="F6637" s="2">
        <v>2</v>
      </c>
      <c r="G6637" s="2"/>
    </row>
    <row r="6638" spans="1:26" customHeight="1" ht="36" hidden="true" outlineLevel="3">
      <c r="A6638" s="2" t="s">
        <v>12557</v>
      </c>
      <c r="B6638" s="3" t="s">
        <v>12558</v>
      </c>
      <c r="C6638" s="2"/>
      <c r="D6638" s="2" t="s">
        <v>16</v>
      </c>
      <c r="E6638" s="4">
        <f>222.64*(1-Z1%)</f>
        <v>222.64</v>
      </c>
      <c r="F6638" s="2">
        <v>6</v>
      </c>
      <c r="G6638" s="2"/>
    </row>
    <row r="6639" spans="1:26" customHeight="1" ht="36" hidden="true" outlineLevel="3">
      <c r="A6639" s="2" t="s">
        <v>12559</v>
      </c>
      <c r="B6639" s="3" t="s">
        <v>12560</v>
      </c>
      <c r="C6639" s="2"/>
      <c r="D6639" s="2" t="s">
        <v>16</v>
      </c>
      <c r="E6639" s="4">
        <f>118.84*(1-Z1%)</f>
        <v>118.84</v>
      </c>
      <c r="F6639" s="2">
        <v>7</v>
      </c>
      <c r="G6639" s="2"/>
    </row>
    <row r="6640" spans="1:26" customHeight="1" ht="36" hidden="true" outlineLevel="3">
      <c r="A6640" s="2" t="s">
        <v>12561</v>
      </c>
      <c r="B6640" s="3" t="s">
        <v>12562</v>
      </c>
      <c r="C6640" s="2"/>
      <c r="D6640" s="2" t="s">
        <v>16</v>
      </c>
      <c r="E6640" s="4">
        <f>108.24*(1-Z1%)</f>
        <v>108.24</v>
      </c>
      <c r="F6640" s="2">
        <v>5</v>
      </c>
      <c r="G6640" s="2"/>
    </row>
    <row r="6641" spans="1:26" customHeight="1" ht="36" hidden="true" outlineLevel="3">
      <c r="A6641" s="2" t="s">
        <v>12563</v>
      </c>
      <c r="B6641" s="3" t="s">
        <v>12564</v>
      </c>
      <c r="C6641" s="2"/>
      <c r="D6641" s="2" t="s">
        <v>16</v>
      </c>
      <c r="E6641" s="4">
        <f>134.16*(1-Z1%)</f>
        <v>134.16</v>
      </c>
      <c r="F6641" s="2">
        <v>5</v>
      </c>
      <c r="G6641" s="2"/>
    </row>
    <row r="6642" spans="1:26" customHeight="1" ht="18" hidden="true" outlineLevel="3">
      <c r="A6642" s="2" t="s">
        <v>12565</v>
      </c>
      <c r="B6642" s="3" t="s">
        <v>12566</v>
      </c>
      <c r="C6642" s="2"/>
      <c r="D6642" s="2" t="s">
        <v>16</v>
      </c>
      <c r="E6642" s="4">
        <f>179.44*(1-Z1%)</f>
        <v>179.44</v>
      </c>
      <c r="F6642" s="2">
        <v>2</v>
      </c>
      <c r="G6642" s="2"/>
    </row>
    <row r="6643" spans="1:26" customHeight="1" ht="36" hidden="true" outlineLevel="3">
      <c r="A6643" s="2" t="s">
        <v>12567</v>
      </c>
      <c r="B6643" s="3" t="s">
        <v>12568</v>
      </c>
      <c r="C6643" s="2"/>
      <c r="D6643" s="2" t="s">
        <v>16</v>
      </c>
      <c r="E6643" s="4">
        <f>150.16*(1-Z1%)</f>
        <v>150.16</v>
      </c>
      <c r="F6643" s="2">
        <v>19</v>
      </c>
      <c r="G6643" s="2"/>
    </row>
    <row r="6644" spans="1:26" customHeight="1" ht="18" hidden="true" outlineLevel="3">
      <c r="A6644" s="2" t="s">
        <v>12569</v>
      </c>
      <c r="B6644" s="3" t="s">
        <v>12570</v>
      </c>
      <c r="C6644" s="2"/>
      <c r="D6644" s="2" t="s">
        <v>16</v>
      </c>
      <c r="E6644" s="4">
        <f>117.57*(1-Z1%)</f>
        <v>117.57</v>
      </c>
      <c r="F6644" s="2">
        <v>5</v>
      </c>
      <c r="G6644" s="2"/>
    </row>
    <row r="6645" spans="1:26" customHeight="1" ht="36" hidden="true" outlineLevel="3">
      <c r="A6645" s="2" t="s">
        <v>12571</v>
      </c>
      <c r="B6645" s="3" t="s">
        <v>12572</v>
      </c>
      <c r="C6645" s="2"/>
      <c r="D6645" s="2" t="s">
        <v>16</v>
      </c>
      <c r="E6645" s="4">
        <f>124.88*(1-Z1%)</f>
        <v>124.88</v>
      </c>
      <c r="F6645" s="2">
        <v>3</v>
      </c>
      <c r="G6645" s="2"/>
    </row>
    <row r="6646" spans="1:26" customHeight="1" ht="18" hidden="true" outlineLevel="3">
      <c r="A6646" s="2" t="s">
        <v>12573</v>
      </c>
      <c r="B6646" s="3" t="s">
        <v>12574</v>
      </c>
      <c r="C6646" s="2"/>
      <c r="D6646" s="2" t="s">
        <v>16</v>
      </c>
      <c r="E6646" s="4">
        <f>117.57*(1-Z1%)</f>
        <v>117.57</v>
      </c>
      <c r="F6646" s="2">
        <v>4</v>
      </c>
      <c r="G6646" s="2"/>
    </row>
    <row r="6647" spans="1:26" customHeight="1" ht="18" hidden="true" outlineLevel="3">
      <c r="A6647" s="2" t="s">
        <v>12575</v>
      </c>
      <c r="B6647" s="3" t="s">
        <v>12576</v>
      </c>
      <c r="C6647" s="2"/>
      <c r="D6647" s="2" t="s">
        <v>16</v>
      </c>
      <c r="E6647" s="4">
        <f>185.63*(1-Z1%)</f>
        <v>185.63</v>
      </c>
      <c r="F6647" s="2">
        <v>5</v>
      </c>
      <c r="G6647" s="2"/>
    </row>
    <row r="6648" spans="1:26" customHeight="1" ht="36" hidden="true" outlineLevel="3">
      <c r="A6648" s="2" t="s">
        <v>12577</v>
      </c>
      <c r="B6648" s="3" t="s">
        <v>12578</v>
      </c>
      <c r="C6648" s="2"/>
      <c r="D6648" s="2" t="s">
        <v>16</v>
      </c>
      <c r="E6648" s="4">
        <f>260.76*(1-Z1%)</f>
        <v>260.76</v>
      </c>
      <c r="F6648" s="2">
        <v>2</v>
      </c>
      <c r="G6648" s="2"/>
    </row>
    <row r="6649" spans="1:26" customHeight="1" ht="18" hidden="true" outlineLevel="3">
      <c r="A6649" s="2" t="s">
        <v>12579</v>
      </c>
      <c r="B6649" s="3" t="s">
        <v>12580</v>
      </c>
      <c r="C6649" s="2"/>
      <c r="D6649" s="2" t="s">
        <v>16</v>
      </c>
      <c r="E6649" s="4">
        <f>235.13*(1-Z1%)</f>
        <v>235.13</v>
      </c>
      <c r="F6649" s="2">
        <v>2</v>
      </c>
      <c r="G6649" s="2"/>
    </row>
    <row r="6650" spans="1:26" customHeight="1" ht="36" hidden="true" outlineLevel="3">
      <c r="A6650" s="2" t="s">
        <v>12581</v>
      </c>
      <c r="B6650" s="3" t="s">
        <v>12582</v>
      </c>
      <c r="C6650" s="2"/>
      <c r="D6650" s="2" t="s">
        <v>16</v>
      </c>
      <c r="E6650" s="4">
        <f>206.94*(1-Z1%)</f>
        <v>206.94</v>
      </c>
      <c r="F6650" s="2">
        <v>3</v>
      </c>
      <c r="G6650" s="2"/>
    </row>
    <row r="6651" spans="1:26" customHeight="1" ht="18" hidden="true" outlineLevel="3">
      <c r="A6651" s="2" t="s">
        <v>12583</v>
      </c>
      <c r="B6651" s="3" t="s">
        <v>12584</v>
      </c>
      <c r="C6651" s="2"/>
      <c r="D6651" s="2" t="s">
        <v>16</v>
      </c>
      <c r="E6651" s="4">
        <f>321.75*(1-Z1%)</f>
        <v>321.75</v>
      </c>
      <c r="F6651" s="2">
        <v>5</v>
      </c>
      <c r="G6651" s="2"/>
    </row>
    <row r="6652" spans="1:26" customHeight="1" ht="35" hidden="true" outlineLevel="3">
      <c r="A6652" s="5" t="s">
        <v>12585</v>
      </c>
      <c r="B6652" s="5"/>
      <c r="C6652" s="5"/>
      <c r="D6652" s="5"/>
      <c r="E6652" s="5"/>
      <c r="F6652" s="5"/>
      <c r="G6652" s="5"/>
    </row>
    <row r="6653" spans="1:26" customHeight="1" ht="18" hidden="true" outlineLevel="3">
      <c r="A6653" s="2" t="s">
        <v>12586</v>
      </c>
      <c r="B6653" s="3" t="s">
        <v>12587</v>
      </c>
      <c r="C6653" s="2"/>
      <c r="D6653" s="2" t="s">
        <v>16</v>
      </c>
      <c r="E6653" s="4">
        <f>17.50*(1-Z1%)</f>
        <v>17.5</v>
      </c>
      <c r="F6653" s="2">
        <v>5</v>
      </c>
      <c r="G6653" s="2"/>
    </row>
    <row r="6654" spans="1:26" customHeight="1" ht="35" hidden="true" outlineLevel="2">
      <c r="A6654" s="5" t="s">
        <v>12588</v>
      </c>
      <c r="B6654" s="5"/>
      <c r="C6654" s="5"/>
      <c r="D6654" s="5"/>
      <c r="E6654" s="5"/>
      <c r="F6654" s="5"/>
      <c r="G6654" s="5"/>
    </row>
    <row r="6655" spans="1:26" customHeight="1" ht="35" hidden="true" outlineLevel="3">
      <c r="A6655" s="5" t="s">
        <v>12589</v>
      </c>
      <c r="B6655" s="5"/>
      <c r="C6655" s="5"/>
      <c r="D6655" s="5"/>
      <c r="E6655" s="5"/>
      <c r="F6655" s="5"/>
      <c r="G6655" s="5"/>
    </row>
    <row r="6656" spans="1:26" customHeight="1" ht="36" hidden="true" outlineLevel="3">
      <c r="A6656" s="2" t="s">
        <v>12590</v>
      </c>
      <c r="B6656" s="3" t="s">
        <v>12591</v>
      </c>
      <c r="C6656" s="2"/>
      <c r="D6656" s="2" t="s">
        <v>16</v>
      </c>
      <c r="E6656" s="4">
        <f>33.35*(1-Z1%)</f>
        <v>33.35</v>
      </c>
      <c r="F6656" s="2">
        <v>5</v>
      </c>
      <c r="G6656" s="2"/>
    </row>
    <row r="6657" spans="1:26" customHeight="1" ht="36" hidden="true" outlineLevel="3">
      <c r="A6657" s="2" t="s">
        <v>12592</v>
      </c>
      <c r="B6657" s="3" t="s">
        <v>12593</v>
      </c>
      <c r="C6657" s="2"/>
      <c r="D6657" s="2" t="s">
        <v>16</v>
      </c>
      <c r="E6657" s="4">
        <f>33.44*(1-Z1%)</f>
        <v>33.44</v>
      </c>
      <c r="F6657" s="2">
        <v>3</v>
      </c>
      <c r="G6657" s="2"/>
    </row>
    <row r="6658" spans="1:26" customHeight="1" ht="36" hidden="true" outlineLevel="3">
      <c r="A6658" s="2" t="s">
        <v>12594</v>
      </c>
      <c r="B6658" s="3" t="s">
        <v>12595</v>
      </c>
      <c r="C6658" s="2"/>
      <c r="D6658" s="2" t="s">
        <v>16</v>
      </c>
      <c r="E6658" s="4">
        <f>33.35*(1-Z1%)</f>
        <v>33.35</v>
      </c>
      <c r="F6658" s="2">
        <v>2</v>
      </c>
      <c r="G6658" s="2"/>
    </row>
    <row r="6659" spans="1:26" customHeight="1" ht="36" hidden="true" outlineLevel="3">
      <c r="A6659" s="2" t="s">
        <v>12596</v>
      </c>
      <c r="B6659" s="3" t="s">
        <v>12597</v>
      </c>
      <c r="C6659" s="2"/>
      <c r="D6659" s="2" t="s">
        <v>16</v>
      </c>
      <c r="E6659" s="4">
        <f>31.10*(1-Z1%)</f>
        <v>31.1</v>
      </c>
      <c r="F6659" s="2">
        <v>1</v>
      </c>
      <c r="G6659" s="2"/>
    </row>
    <row r="6660" spans="1:26" customHeight="1" ht="35" hidden="true" outlineLevel="2">
      <c r="A6660" s="5" t="s">
        <v>12598</v>
      </c>
      <c r="B6660" s="5"/>
      <c r="C6660" s="5"/>
      <c r="D6660" s="5"/>
      <c r="E6660" s="5"/>
      <c r="F6660" s="5"/>
      <c r="G6660" s="5"/>
    </row>
    <row r="6661" spans="1:26" customHeight="1" ht="35" hidden="true" outlineLevel="3">
      <c r="A6661" s="5" t="s">
        <v>12599</v>
      </c>
      <c r="B6661" s="5"/>
      <c r="C6661" s="5"/>
      <c r="D6661" s="5"/>
      <c r="E6661" s="5"/>
      <c r="F6661" s="5"/>
      <c r="G6661" s="5"/>
    </row>
    <row r="6662" spans="1:26" customHeight="1" ht="18" hidden="true" outlineLevel="3">
      <c r="A6662" s="2" t="s">
        <v>12600</v>
      </c>
      <c r="B6662" s="3" t="s">
        <v>12601</v>
      </c>
      <c r="C6662" s="2"/>
      <c r="D6662" s="2" t="s">
        <v>16</v>
      </c>
      <c r="E6662" s="4">
        <f>29.25*(1-Z1%)</f>
        <v>29.25</v>
      </c>
      <c r="F6662" s="2">
        <v>5</v>
      </c>
      <c r="G6662" s="2"/>
    </row>
    <row r="6663" spans="1:26" customHeight="1" ht="18" hidden="true" outlineLevel="3">
      <c r="A6663" s="2" t="s">
        <v>12602</v>
      </c>
      <c r="B6663" s="3" t="s">
        <v>12603</v>
      </c>
      <c r="C6663" s="2"/>
      <c r="D6663" s="2" t="s">
        <v>16</v>
      </c>
      <c r="E6663" s="4">
        <f>75.15*(1-Z1%)</f>
        <v>75.15</v>
      </c>
      <c r="F6663" s="2">
        <v>5</v>
      </c>
      <c r="G6663" s="2"/>
    </row>
    <row r="6664" spans="1:26" customHeight="1" ht="18" hidden="true" outlineLevel="3">
      <c r="A6664" s="2" t="s">
        <v>12604</v>
      </c>
      <c r="B6664" s="3" t="s">
        <v>12605</v>
      </c>
      <c r="C6664" s="2"/>
      <c r="D6664" s="2" t="s">
        <v>16</v>
      </c>
      <c r="E6664" s="4">
        <f>20.34*(1-Z1%)</f>
        <v>20.34</v>
      </c>
      <c r="F6664" s="2">
        <v>5</v>
      </c>
      <c r="G6664" s="2"/>
    </row>
    <row r="6665" spans="1:26" customHeight="1" ht="35" hidden="true" outlineLevel="2">
      <c r="A6665" s="5" t="s">
        <v>12606</v>
      </c>
      <c r="B6665" s="5"/>
      <c r="C6665" s="5"/>
      <c r="D6665" s="5"/>
      <c r="E6665" s="5"/>
      <c r="F6665" s="5"/>
      <c r="G6665" s="5"/>
    </row>
    <row r="6666" spans="1:26" customHeight="1" ht="35" hidden="true" outlineLevel="3">
      <c r="A6666" s="5" t="s">
        <v>12607</v>
      </c>
      <c r="B6666" s="5"/>
      <c r="C6666" s="5"/>
      <c r="D6666" s="5"/>
      <c r="E6666" s="5"/>
      <c r="F6666" s="5"/>
      <c r="G6666" s="5"/>
    </row>
    <row r="6667" spans="1:26" customHeight="1" ht="36" hidden="true" outlineLevel="3">
      <c r="A6667" s="2" t="s">
        <v>12608</v>
      </c>
      <c r="B6667" s="3" t="s">
        <v>12609</v>
      </c>
      <c r="C6667" s="2"/>
      <c r="D6667" s="2" t="s">
        <v>16</v>
      </c>
      <c r="E6667" s="4">
        <f>74.25*(1-Z1%)</f>
        <v>74.25</v>
      </c>
      <c r="F6667" s="2">
        <v>12</v>
      </c>
      <c r="G6667" s="2"/>
    </row>
    <row r="6668" spans="1:26" customHeight="1" ht="35" hidden="true" outlineLevel="3">
      <c r="A6668" s="5" t="s">
        <v>12610</v>
      </c>
      <c r="B6668" s="5"/>
      <c r="C6668" s="5"/>
      <c r="D6668" s="5"/>
      <c r="E6668" s="5"/>
      <c r="F6668" s="5"/>
      <c r="G6668" s="5"/>
    </row>
    <row r="6669" spans="1:26" customHeight="1" ht="18" hidden="true" outlineLevel="3">
      <c r="A6669" s="2" t="s">
        <v>12611</v>
      </c>
      <c r="B6669" s="3" t="s">
        <v>12612</v>
      </c>
      <c r="C6669" s="2"/>
      <c r="D6669" s="2" t="s">
        <v>16</v>
      </c>
      <c r="E6669" s="4">
        <f>12.87*(1-Z1%)</f>
        <v>12.87</v>
      </c>
      <c r="F6669" s="2">
        <v>5</v>
      </c>
      <c r="G6669" s="2"/>
    </row>
    <row r="6670" spans="1:26" customHeight="1" ht="35" hidden="true" outlineLevel="3">
      <c r="A6670" s="5" t="s">
        <v>12613</v>
      </c>
      <c r="B6670" s="5"/>
      <c r="C6670" s="5"/>
      <c r="D6670" s="5"/>
      <c r="E6670" s="5"/>
      <c r="F6670" s="5"/>
      <c r="G6670" s="5"/>
    </row>
    <row r="6671" spans="1:26" customHeight="1" ht="36" hidden="true" outlineLevel="3">
      <c r="A6671" s="2" t="s">
        <v>12614</v>
      </c>
      <c r="B6671" s="3" t="s">
        <v>12615</v>
      </c>
      <c r="C6671" s="2"/>
      <c r="D6671" s="2" t="s">
        <v>16</v>
      </c>
      <c r="E6671" s="4">
        <f>38.83*(1-Z1%)</f>
        <v>38.83</v>
      </c>
      <c r="F6671" s="2">
        <v>5</v>
      </c>
      <c r="G6671" s="2"/>
    </row>
    <row r="6672" spans="1:26" customHeight="1" ht="36" hidden="true" outlineLevel="3">
      <c r="A6672" s="2" t="s">
        <v>12616</v>
      </c>
      <c r="B6672" s="3" t="s">
        <v>12617</v>
      </c>
      <c r="C6672" s="2"/>
      <c r="D6672" s="2" t="s">
        <v>16</v>
      </c>
      <c r="E6672" s="4">
        <f>28.47*(1-Z1%)</f>
        <v>28.47</v>
      </c>
      <c r="F6672" s="2">
        <v>4</v>
      </c>
      <c r="G6672" s="2"/>
    </row>
    <row r="6673" spans="1:26" customHeight="1" ht="36" hidden="true" outlineLevel="3">
      <c r="A6673" s="2" t="s">
        <v>12618</v>
      </c>
      <c r="B6673" s="3" t="s">
        <v>12619</v>
      </c>
      <c r="C6673" s="2"/>
      <c r="D6673" s="2" t="s">
        <v>16</v>
      </c>
      <c r="E6673" s="4">
        <f>28.47*(1-Z1%)</f>
        <v>28.47</v>
      </c>
      <c r="F6673" s="2">
        <v>5</v>
      </c>
      <c r="G6673" s="2"/>
    </row>
    <row r="6674" spans="1:26" customHeight="1" ht="36" hidden="true" outlineLevel="3">
      <c r="A6674" s="2" t="s">
        <v>12620</v>
      </c>
      <c r="B6674" s="3" t="s">
        <v>12621</v>
      </c>
      <c r="C6674" s="2"/>
      <c r="D6674" s="2" t="s">
        <v>16</v>
      </c>
      <c r="E6674" s="4">
        <f>13.82*(1-Z1%)</f>
        <v>13.82</v>
      </c>
      <c r="F6674" s="2">
        <v>4</v>
      </c>
      <c r="G6674" s="2"/>
    </row>
    <row r="6675" spans="1:26" customHeight="1" ht="36" hidden="true" outlineLevel="3">
      <c r="A6675" s="2" t="s">
        <v>12622</v>
      </c>
      <c r="B6675" s="3" t="s">
        <v>12623</v>
      </c>
      <c r="C6675" s="2"/>
      <c r="D6675" s="2" t="s">
        <v>16</v>
      </c>
      <c r="E6675" s="4">
        <f>13.36*(1-Z1%)</f>
        <v>13.36</v>
      </c>
      <c r="F6675" s="2">
        <v>7</v>
      </c>
      <c r="G6675" s="2"/>
    </row>
    <row r="6676" spans="1:26" customHeight="1" ht="36" hidden="true" outlineLevel="3">
      <c r="A6676" s="2" t="s">
        <v>12624</v>
      </c>
      <c r="B6676" s="3" t="s">
        <v>12625</v>
      </c>
      <c r="C6676" s="2"/>
      <c r="D6676" s="2" t="s">
        <v>16</v>
      </c>
      <c r="E6676" s="4">
        <f>7.04*(1-Z1%)</f>
        <v>7.04</v>
      </c>
      <c r="F6676" s="2">
        <v>48</v>
      </c>
      <c r="G6676" s="2"/>
    </row>
    <row r="6677" spans="1:26" customHeight="1" ht="36" hidden="true" outlineLevel="3">
      <c r="A6677" s="2" t="s">
        <v>12626</v>
      </c>
      <c r="B6677" s="3" t="s">
        <v>12627</v>
      </c>
      <c r="C6677" s="2"/>
      <c r="D6677" s="2" t="s">
        <v>16</v>
      </c>
      <c r="E6677" s="4">
        <f>18.79*(1-Z1%)</f>
        <v>18.79</v>
      </c>
      <c r="F6677" s="2">
        <v>3</v>
      </c>
      <c r="G6677" s="2"/>
    </row>
    <row r="6678" spans="1:26" customHeight="1" ht="18" hidden="true" outlineLevel="3">
      <c r="A6678" s="2" t="s">
        <v>12628</v>
      </c>
      <c r="B6678" s="3" t="s">
        <v>12629</v>
      </c>
      <c r="C6678" s="2"/>
      <c r="D6678" s="2" t="s">
        <v>16</v>
      </c>
      <c r="E6678" s="4">
        <f>8.05*(1-Z1%)</f>
        <v>8.05</v>
      </c>
      <c r="F6678" s="2">
        <v>8</v>
      </c>
      <c r="G6678" s="2"/>
    </row>
    <row r="6679" spans="1:26" customHeight="1" ht="18" hidden="true" outlineLevel="3">
      <c r="A6679" s="2" t="s">
        <v>12630</v>
      </c>
      <c r="B6679" s="3" t="s">
        <v>12631</v>
      </c>
      <c r="C6679" s="2"/>
      <c r="D6679" s="2" t="s">
        <v>16</v>
      </c>
      <c r="E6679" s="4">
        <f>25.52*(1-Z1%)</f>
        <v>25.52</v>
      </c>
      <c r="F6679" s="2">
        <v>5</v>
      </c>
      <c r="G6679" s="2"/>
    </row>
    <row r="6680" spans="1:26" customHeight="1" ht="18" hidden="true" outlineLevel="3">
      <c r="A6680" s="2" t="s">
        <v>12632</v>
      </c>
      <c r="B6680" s="3" t="s">
        <v>12633</v>
      </c>
      <c r="C6680" s="2"/>
      <c r="D6680" s="2" t="s">
        <v>16</v>
      </c>
      <c r="E6680" s="4">
        <f>25.52*(1-Z1%)</f>
        <v>25.52</v>
      </c>
      <c r="F6680" s="2">
        <v>5</v>
      </c>
      <c r="G6680" s="2"/>
    </row>
    <row r="6681" spans="1:26" customHeight="1" ht="18" hidden="true" outlineLevel="3">
      <c r="A6681" s="2" t="s">
        <v>12634</v>
      </c>
      <c r="B6681" s="3" t="s">
        <v>12635</v>
      </c>
      <c r="C6681" s="2"/>
      <c r="D6681" s="2" t="s">
        <v>16</v>
      </c>
      <c r="E6681" s="4">
        <f>24.70*(1-Z1%)</f>
        <v>24.7</v>
      </c>
      <c r="F6681" s="2">
        <v>5</v>
      </c>
      <c r="G6681" s="2"/>
    </row>
    <row r="6682" spans="1:26" customHeight="1" ht="36" hidden="true" outlineLevel="3">
      <c r="A6682" s="2" t="s">
        <v>12636</v>
      </c>
      <c r="B6682" s="3" t="s">
        <v>12637</v>
      </c>
      <c r="C6682" s="2"/>
      <c r="D6682" s="2" t="s">
        <v>16</v>
      </c>
      <c r="E6682" s="4">
        <f>44.65*(1-Z1%)</f>
        <v>44.65</v>
      </c>
      <c r="F6682" s="2">
        <v>4</v>
      </c>
      <c r="G6682" s="2"/>
    </row>
    <row r="6683" spans="1:26" customHeight="1" ht="36" hidden="true" outlineLevel="3">
      <c r="A6683" s="2" t="s">
        <v>12638</v>
      </c>
      <c r="B6683" s="3" t="s">
        <v>12639</v>
      </c>
      <c r="C6683" s="2"/>
      <c r="D6683" s="2" t="s">
        <v>16</v>
      </c>
      <c r="E6683" s="4">
        <f>48.51*(1-Z1%)</f>
        <v>48.51</v>
      </c>
      <c r="F6683" s="2">
        <v>4</v>
      </c>
      <c r="G6683" s="2"/>
    </row>
    <row r="6684" spans="1:26" customHeight="1" ht="36" hidden="true" outlineLevel="3">
      <c r="A6684" s="2" t="s">
        <v>12640</v>
      </c>
      <c r="B6684" s="3" t="s">
        <v>12641</v>
      </c>
      <c r="C6684" s="2"/>
      <c r="D6684" s="2" t="s">
        <v>16</v>
      </c>
      <c r="E6684" s="4">
        <f>46.31*(1-Z1%)</f>
        <v>46.31</v>
      </c>
      <c r="F6684" s="2">
        <v>6</v>
      </c>
      <c r="G6684" s="2"/>
    </row>
    <row r="6685" spans="1:26" customHeight="1" ht="18" hidden="true" outlineLevel="3">
      <c r="A6685" s="2" t="s">
        <v>12642</v>
      </c>
      <c r="B6685" s="3" t="s">
        <v>12643</v>
      </c>
      <c r="C6685" s="2"/>
      <c r="D6685" s="2" t="s">
        <v>16</v>
      </c>
      <c r="E6685" s="4">
        <f>32.65*(1-Z1%)</f>
        <v>32.65</v>
      </c>
      <c r="F6685" s="2">
        <v>11</v>
      </c>
      <c r="G6685" s="2"/>
    </row>
    <row r="6686" spans="1:26" customHeight="1" ht="36" hidden="true" outlineLevel="3">
      <c r="A6686" s="2" t="s">
        <v>12644</v>
      </c>
      <c r="B6686" s="3" t="s">
        <v>12645</v>
      </c>
      <c r="C6686" s="2"/>
      <c r="D6686" s="2" t="s">
        <v>16</v>
      </c>
      <c r="E6686" s="4">
        <f>27.77*(1-Z1%)</f>
        <v>27.77</v>
      </c>
      <c r="F6686" s="2">
        <v>10</v>
      </c>
      <c r="G6686" s="2"/>
    </row>
    <row r="6687" spans="1:26" customHeight="1" ht="36" hidden="true" outlineLevel="3">
      <c r="A6687" s="2" t="s">
        <v>12646</v>
      </c>
      <c r="B6687" s="3" t="s">
        <v>12647</v>
      </c>
      <c r="C6687" s="2"/>
      <c r="D6687" s="2" t="s">
        <v>16</v>
      </c>
      <c r="E6687" s="4">
        <f>29.09*(1-Z1%)</f>
        <v>29.09</v>
      </c>
      <c r="F6687" s="2">
        <v>4</v>
      </c>
      <c r="G6687" s="2"/>
    </row>
    <row r="6688" spans="1:26" customHeight="1" ht="36" hidden="true" outlineLevel="3">
      <c r="A6688" s="2" t="s">
        <v>12648</v>
      </c>
      <c r="B6688" s="3" t="s">
        <v>12649</v>
      </c>
      <c r="C6688" s="2"/>
      <c r="D6688" s="2" t="s">
        <v>16</v>
      </c>
      <c r="E6688" s="4">
        <f>29.09*(1-Z1%)</f>
        <v>29.09</v>
      </c>
      <c r="F6688" s="2">
        <v>5</v>
      </c>
      <c r="G6688" s="2"/>
    </row>
    <row r="6689" spans="1:26" customHeight="1" ht="36" hidden="true" outlineLevel="3">
      <c r="A6689" s="2" t="s">
        <v>12650</v>
      </c>
      <c r="B6689" s="3" t="s">
        <v>12651</v>
      </c>
      <c r="C6689" s="2"/>
      <c r="D6689" s="2" t="s">
        <v>16</v>
      </c>
      <c r="E6689" s="4">
        <f>29.09*(1-Z1%)</f>
        <v>29.09</v>
      </c>
      <c r="F6689" s="2">
        <v>3</v>
      </c>
      <c r="G6689" s="2"/>
    </row>
    <row r="6690" spans="1:26" customHeight="1" ht="18" hidden="true" outlineLevel="3">
      <c r="A6690" s="2" t="s">
        <v>12652</v>
      </c>
      <c r="B6690" s="3" t="s">
        <v>12653</v>
      </c>
      <c r="C6690" s="2"/>
      <c r="D6690" s="2" t="s">
        <v>16</v>
      </c>
      <c r="E6690" s="4">
        <f>29.09*(1-Z1%)</f>
        <v>29.09</v>
      </c>
      <c r="F6690" s="2">
        <v>10</v>
      </c>
      <c r="G6690" s="2"/>
    </row>
    <row r="6691" spans="1:26" customHeight="1" ht="36" hidden="true" outlineLevel="3">
      <c r="A6691" s="2" t="s">
        <v>12654</v>
      </c>
      <c r="B6691" s="3" t="s">
        <v>12655</v>
      </c>
      <c r="C6691" s="2"/>
      <c r="D6691" s="2" t="s">
        <v>16</v>
      </c>
      <c r="E6691" s="4">
        <f>29.09*(1-Z1%)</f>
        <v>29.09</v>
      </c>
      <c r="F6691" s="2">
        <v>5</v>
      </c>
      <c r="G6691" s="2"/>
    </row>
    <row r="6692" spans="1:26" customHeight="1" ht="18" hidden="true" outlineLevel="3">
      <c r="A6692" s="2" t="s">
        <v>12656</v>
      </c>
      <c r="B6692" s="3" t="s">
        <v>12657</v>
      </c>
      <c r="C6692" s="2"/>
      <c r="D6692" s="2" t="s">
        <v>16</v>
      </c>
      <c r="E6692" s="4">
        <f>27.77*(1-Z1%)</f>
        <v>27.77</v>
      </c>
      <c r="F6692" s="2">
        <v>10</v>
      </c>
      <c r="G6692" s="2"/>
    </row>
    <row r="6693" spans="1:26" customHeight="1" ht="36" hidden="true" outlineLevel="3">
      <c r="A6693" s="2" t="s">
        <v>12658</v>
      </c>
      <c r="B6693" s="3" t="s">
        <v>12659</v>
      </c>
      <c r="C6693" s="2"/>
      <c r="D6693" s="2" t="s">
        <v>16</v>
      </c>
      <c r="E6693" s="4">
        <f>44.87*(1-Z1%)</f>
        <v>44.87</v>
      </c>
      <c r="F6693" s="2">
        <v>1</v>
      </c>
      <c r="G6693" s="2"/>
    </row>
    <row r="6694" spans="1:26" customHeight="1" ht="36" hidden="true" outlineLevel="3">
      <c r="A6694" s="2" t="s">
        <v>12660</v>
      </c>
      <c r="B6694" s="3" t="s">
        <v>12661</v>
      </c>
      <c r="C6694" s="2"/>
      <c r="D6694" s="2" t="s">
        <v>16</v>
      </c>
      <c r="E6694" s="4">
        <f>11.22*(1-Z1%)</f>
        <v>11.22</v>
      </c>
      <c r="F6694" s="2">
        <v>8</v>
      </c>
      <c r="G6694" s="2"/>
    </row>
    <row r="6695" spans="1:26" customHeight="1" ht="36" hidden="true" outlineLevel="3">
      <c r="A6695" s="2" t="s">
        <v>12662</v>
      </c>
      <c r="B6695" s="3" t="s">
        <v>12663</v>
      </c>
      <c r="C6695" s="2"/>
      <c r="D6695" s="2" t="s">
        <v>16</v>
      </c>
      <c r="E6695" s="4">
        <f>9.29*(1-Z1%)</f>
        <v>9.29</v>
      </c>
      <c r="F6695" s="2">
        <v>8</v>
      </c>
      <c r="G6695" s="2"/>
    </row>
    <row r="6696" spans="1:26" customHeight="1" ht="35" hidden="true" outlineLevel="3">
      <c r="A6696" s="5" t="s">
        <v>12664</v>
      </c>
      <c r="B6696" s="5"/>
      <c r="C6696" s="5"/>
      <c r="D6696" s="5"/>
      <c r="E6696" s="5"/>
      <c r="F6696" s="5"/>
      <c r="G6696" s="5"/>
    </row>
    <row r="6697" spans="1:26" customHeight="1" ht="18" hidden="true" outlineLevel="3">
      <c r="A6697" s="2" t="s">
        <v>12665</v>
      </c>
      <c r="B6697" s="3" t="s">
        <v>12666</v>
      </c>
      <c r="C6697" s="2"/>
      <c r="D6697" s="2" t="s">
        <v>16</v>
      </c>
      <c r="E6697" s="4">
        <f>1.43*(1-Z1%)</f>
        <v>1.43</v>
      </c>
      <c r="F6697" s="2">
        <v>60</v>
      </c>
      <c r="G6697" s="2"/>
    </row>
    <row r="6698" spans="1:26" customHeight="1" ht="18" hidden="true" outlineLevel="3">
      <c r="A6698" s="2" t="s">
        <v>12667</v>
      </c>
      <c r="B6698" s="3" t="s">
        <v>12668</v>
      </c>
      <c r="C6698" s="2"/>
      <c r="D6698" s="2" t="s">
        <v>16</v>
      </c>
      <c r="E6698" s="4">
        <f>2.08*(1-Z1%)</f>
        <v>2.08</v>
      </c>
      <c r="F6698" s="2">
        <v>40</v>
      </c>
      <c r="G6698" s="2"/>
    </row>
    <row r="6699" spans="1:26" customHeight="1" ht="18" hidden="true" outlineLevel="3">
      <c r="A6699" s="2" t="s">
        <v>12669</v>
      </c>
      <c r="B6699" s="3" t="s">
        <v>12670</v>
      </c>
      <c r="C6699" s="2"/>
      <c r="D6699" s="2" t="s">
        <v>16</v>
      </c>
      <c r="E6699" s="4">
        <f>2.22*(1-Z1%)</f>
        <v>2.22</v>
      </c>
      <c r="F6699" s="2">
        <v>50</v>
      </c>
      <c r="G6699" s="2"/>
    </row>
    <row r="6700" spans="1:26" customHeight="1" ht="18" hidden="true" outlineLevel="3">
      <c r="A6700" s="2" t="s">
        <v>12671</v>
      </c>
      <c r="B6700" s="3" t="s">
        <v>12672</v>
      </c>
      <c r="C6700" s="2"/>
      <c r="D6700" s="2" t="s">
        <v>16</v>
      </c>
      <c r="E6700" s="4">
        <f>1.70*(1-Z1%)</f>
        <v>1.7</v>
      </c>
      <c r="F6700" s="2">
        <v>20</v>
      </c>
      <c r="G6700" s="2"/>
    </row>
    <row r="6701" spans="1:26" customHeight="1" ht="18" hidden="true" outlineLevel="3">
      <c r="A6701" s="2" t="s">
        <v>12673</v>
      </c>
      <c r="B6701" s="3" t="s">
        <v>12674</v>
      </c>
      <c r="C6701" s="2"/>
      <c r="D6701" s="2" t="s">
        <v>16</v>
      </c>
      <c r="E6701" s="4">
        <f>0.94*(1-Z1%)</f>
        <v>0.94</v>
      </c>
      <c r="F6701" s="2">
        <v>50</v>
      </c>
      <c r="G6701" s="2"/>
    </row>
    <row r="6702" spans="1:26" customHeight="1" ht="18" hidden="true" outlineLevel="3">
      <c r="A6702" s="2" t="s">
        <v>12675</v>
      </c>
      <c r="B6702" s="3" t="s">
        <v>12676</v>
      </c>
      <c r="C6702" s="2"/>
      <c r="D6702" s="2" t="s">
        <v>16</v>
      </c>
      <c r="E6702" s="4">
        <f>1.17*(1-Z1%)</f>
        <v>1.17</v>
      </c>
      <c r="F6702" s="2">
        <v>10</v>
      </c>
      <c r="G6702" s="2"/>
    </row>
    <row r="6703" spans="1:26" customHeight="1" ht="18" hidden="true" outlineLevel="3">
      <c r="A6703" s="2" t="s">
        <v>12677</v>
      </c>
      <c r="B6703" s="3" t="s">
        <v>12678</v>
      </c>
      <c r="C6703" s="2"/>
      <c r="D6703" s="2" t="s">
        <v>16</v>
      </c>
      <c r="E6703" s="4">
        <f>1.17*(1-Z1%)</f>
        <v>1.17</v>
      </c>
      <c r="F6703" s="2">
        <v>60</v>
      </c>
      <c r="G6703" s="2"/>
    </row>
    <row r="6704" spans="1:26" customHeight="1" ht="35" hidden="true" outlineLevel="3">
      <c r="A6704" s="5" t="s">
        <v>12679</v>
      </c>
      <c r="B6704" s="5"/>
      <c r="C6704" s="5"/>
      <c r="D6704" s="5"/>
      <c r="E6704" s="5"/>
      <c r="F6704" s="5"/>
      <c r="G6704" s="5"/>
    </row>
    <row r="6705" spans="1:26" customHeight="1" ht="18" hidden="true" outlineLevel="3">
      <c r="A6705" s="2" t="s">
        <v>12680</v>
      </c>
      <c r="B6705" s="3" t="s">
        <v>12681</v>
      </c>
      <c r="C6705" s="2"/>
      <c r="D6705" s="2" t="s">
        <v>16</v>
      </c>
      <c r="E6705" s="4">
        <f>83.37*(1-Z1%)</f>
        <v>83.37</v>
      </c>
      <c r="F6705" s="2">
        <v>12</v>
      </c>
      <c r="G6705" s="2"/>
    </row>
    <row r="6706" spans="1:26" customHeight="1" ht="18" hidden="true" outlineLevel="3">
      <c r="A6706" s="2" t="s">
        <v>12682</v>
      </c>
      <c r="B6706" s="3" t="s">
        <v>12683</v>
      </c>
      <c r="C6706" s="2"/>
      <c r="D6706" s="2" t="s">
        <v>16</v>
      </c>
      <c r="E6706" s="4">
        <f>73.68*(1-Z1%)</f>
        <v>73.68</v>
      </c>
      <c r="F6706" s="2">
        <v>7</v>
      </c>
      <c r="G6706" s="2"/>
    </row>
    <row r="6707" spans="1:26" customHeight="1" ht="18" hidden="true" outlineLevel="3">
      <c r="A6707" s="2" t="s">
        <v>12684</v>
      </c>
      <c r="B6707" s="3" t="s">
        <v>12685</v>
      </c>
      <c r="C6707" s="2"/>
      <c r="D6707" s="2" t="s">
        <v>16</v>
      </c>
      <c r="E6707" s="4">
        <f>25.25*(1-Z1%)</f>
        <v>25.25</v>
      </c>
      <c r="F6707" s="2">
        <v>10</v>
      </c>
      <c r="G6707" s="2"/>
    </row>
    <row r="6708" spans="1:26" customHeight="1" ht="18" hidden="true" outlineLevel="3">
      <c r="A6708" s="2" t="s">
        <v>12686</v>
      </c>
      <c r="B6708" s="3" t="s">
        <v>12687</v>
      </c>
      <c r="C6708" s="2"/>
      <c r="D6708" s="2" t="s">
        <v>16</v>
      </c>
      <c r="E6708" s="4">
        <f>22.91*(1-Z1%)</f>
        <v>22.91</v>
      </c>
      <c r="F6708" s="2">
        <v>5</v>
      </c>
      <c r="G6708" s="2"/>
    </row>
    <row r="6709" spans="1:26" customHeight="1" ht="18" hidden="true" outlineLevel="3">
      <c r="A6709" s="2" t="s">
        <v>12688</v>
      </c>
      <c r="B6709" s="3" t="s">
        <v>12689</v>
      </c>
      <c r="C6709" s="2"/>
      <c r="D6709" s="2" t="s">
        <v>16</v>
      </c>
      <c r="E6709" s="4">
        <f>25.65*(1-Z1%)</f>
        <v>25.65</v>
      </c>
      <c r="F6709" s="2">
        <v>12</v>
      </c>
      <c r="G6709" s="2"/>
    </row>
    <row r="6710" spans="1:26" customHeight="1" ht="18" hidden="true" outlineLevel="3">
      <c r="A6710" s="2" t="s">
        <v>12690</v>
      </c>
      <c r="B6710" s="3" t="s">
        <v>12691</v>
      </c>
      <c r="C6710" s="2"/>
      <c r="D6710" s="2" t="s">
        <v>16</v>
      </c>
      <c r="E6710" s="4">
        <f>35.63*(1-Z1%)</f>
        <v>35.63</v>
      </c>
      <c r="F6710" s="2">
        <v>7</v>
      </c>
      <c r="G6710" s="2"/>
    </row>
    <row r="6711" spans="1:26" customHeight="1" ht="18" hidden="true" outlineLevel="3">
      <c r="A6711" s="2" t="s">
        <v>12692</v>
      </c>
      <c r="B6711" s="3" t="s">
        <v>12693</v>
      </c>
      <c r="C6711" s="2"/>
      <c r="D6711" s="2" t="s">
        <v>16</v>
      </c>
      <c r="E6711" s="4">
        <f>28.05*(1-Z1%)</f>
        <v>28.05</v>
      </c>
      <c r="F6711" s="2">
        <v>12</v>
      </c>
      <c r="G6711" s="2"/>
    </row>
    <row r="6712" spans="1:26" customHeight="1" ht="35" hidden="true" outlineLevel="2">
      <c r="A6712" s="5" t="s">
        <v>12694</v>
      </c>
      <c r="B6712" s="5"/>
      <c r="C6712" s="5"/>
      <c r="D6712" s="5"/>
      <c r="E6712" s="5"/>
      <c r="F6712" s="5"/>
      <c r="G6712" s="5"/>
    </row>
    <row r="6713" spans="1:26" customHeight="1" ht="35" hidden="true" outlineLevel="3">
      <c r="A6713" s="5" t="s">
        <v>12695</v>
      </c>
      <c r="B6713" s="5"/>
      <c r="C6713" s="5"/>
      <c r="D6713" s="5"/>
      <c r="E6713" s="5"/>
      <c r="F6713" s="5"/>
      <c r="G6713" s="5"/>
    </row>
    <row r="6714" spans="1:26" customHeight="1" ht="18" hidden="true" outlineLevel="3">
      <c r="A6714" s="2" t="s">
        <v>12696</v>
      </c>
      <c r="B6714" s="3" t="s">
        <v>12697</v>
      </c>
      <c r="C6714" s="2"/>
      <c r="D6714" s="2" t="s">
        <v>16</v>
      </c>
      <c r="E6714" s="4">
        <f>277.84*(1-Z1%)</f>
        <v>277.84</v>
      </c>
      <c r="F6714" s="2">
        <v>6</v>
      </c>
      <c r="G6714" s="2"/>
    </row>
    <row r="6715" spans="1:26" customHeight="1" ht="18" hidden="true" outlineLevel="3">
      <c r="A6715" s="2" t="s">
        <v>12698</v>
      </c>
      <c r="B6715" s="3" t="s">
        <v>12699</v>
      </c>
      <c r="C6715" s="2"/>
      <c r="D6715" s="2" t="s">
        <v>16</v>
      </c>
      <c r="E6715" s="4">
        <f>446.45*(1-Z1%)</f>
        <v>446.45</v>
      </c>
      <c r="F6715" s="2">
        <v>1</v>
      </c>
      <c r="G6715" s="2"/>
    </row>
    <row r="6716" spans="1:26" customHeight="1" ht="35" hidden="true" outlineLevel="3">
      <c r="A6716" s="5" t="s">
        <v>12700</v>
      </c>
      <c r="B6716" s="5"/>
      <c r="C6716" s="5"/>
      <c r="D6716" s="5"/>
      <c r="E6716" s="5"/>
      <c r="F6716" s="5"/>
      <c r="G6716" s="5"/>
    </row>
    <row r="6717" spans="1:26" customHeight="1" ht="18" hidden="true" outlineLevel="3">
      <c r="A6717" s="2" t="s">
        <v>12701</v>
      </c>
      <c r="B6717" s="3" t="s">
        <v>12702</v>
      </c>
      <c r="C6717" s="2"/>
      <c r="D6717" s="2" t="s">
        <v>16</v>
      </c>
      <c r="E6717" s="4">
        <f>9.04*(1-Z1%)</f>
        <v>9.04</v>
      </c>
      <c r="F6717" s="2">
        <v>8</v>
      </c>
      <c r="G6717" s="2"/>
    </row>
    <row r="6718" spans="1:26" customHeight="1" ht="18" hidden="true" outlineLevel="3">
      <c r="A6718" s="2" t="s">
        <v>12703</v>
      </c>
      <c r="B6718" s="3" t="s">
        <v>12704</v>
      </c>
      <c r="C6718" s="2"/>
      <c r="D6718" s="2" t="s">
        <v>16</v>
      </c>
      <c r="E6718" s="4">
        <f>3.67*(1-Z1%)</f>
        <v>3.67</v>
      </c>
      <c r="F6718" s="2">
        <v>8</v>
      </c>
      <c r="G6718" s="2"/>
    </row>
    <row r="6719" spans="1:26" customHeight="1" ht="18" hidden="true" outlineLevel="3">
      <c r="A6719" s="2" t="s">
        <v>12705</v>
      </c>
      <c r="B6719" s="3" t="s">
        <v>12706</v>
      </c>
      <c r="C6719" s="2"/>
      <c r="D6719" s="2" t="s">
        <v>16</v>
      </c>
      <c r="E6719" s="4">
        <f>5.38*(1-Z1%)</f>
        <v>5.38</v>
      </c>
      <c r="F6719" s="2">
        <v>8</v>
      </c>
      <c r="G6719" s="2"/>
    </row>
    <row r="6720" spans="1:26" customHeight="1" ht="18" hidden="true" outlineLevel="3">
      <c r="A6720" s="2" t="s">
        <v>12707</v>
      </c>
      <c r="B6720" s="3" t="s">
        <v>12708</v>
      </c>
      <c r="C6720" s="2"/>
      <c r="D6720" s="2" t="s">
        <v>16</v>
      </c>
      <c r="E6720" s="4">
        <f>3.79*(1-Z1%)</f>
        <v>3.79</v>
      </c>
      <c r="F6720" s="2">
        <v>8</v>
      </c>
      <c r="G6720" s="2"/>
    </row>
    <row r="6721" spans="1:26" customHeight="1" ht="35" hidden="true" outlineLevel="2">
      <c r="A6721" s="5" t="s">
        <v>12709</v>
      </c>
      <c r="B6721" s="5"/>
      <c r="C6721" s="5"/>
      <c r="D6721" s="5"/>
      <c r="E6721" s="5"/>
      <c r="F6721" s="5"/>
      <c r="G6721" s="5"/>
    </row>
    <row r="6722" spans="1:26" customHeight="1" ht="35" hidden="true" outlineLevel="3">
      <c r="A6722" s="5" t="s">
        <v>12710</v>
      </c>
      <c r="B6722" s="5"/>
      <c r="C6722" s="5"/>
      <c r="D6722" s="5"/>
      <c r="E6722" s="5"/>
      <c r="F6722" s="5"/>
      <c r="G6722" s="5"/>
    </row>
    <row r="6723" spans="1:26" customHeight="1" ht="35" hidden="true" outlineLevel="4">
      <c r="A6723" s="5" t="s">
        <v>12711</v>
      </c>
      <c r="B6723" s="5"/>
      <c r="C6723" s="5"/>
      <c r="D6723" s="5"/>
      <c r="E6723" s="5"/>
      <c r="F6723" s="5"/>
      <c r="G6723" s="5"/>
    </row>
    <row r="6724" spans="1:26" customHeight="1" ht="36" hidden="true" outlineLevel="4">
      <c r="A6724" s="2" t="s">
        <v>12712</v>
      </c>
      <c r="B6724" s="3" t="s">
        <v>12713</v>
      </c>
      <c r="C6724" s="2"/>
      <c r="D6724" s="2" t="s">
        <v>16</v>
      </c>
      <c r="E6724" s="4">
        <f>45.47*(1-Z1%)</f>
        <v>45.47</v>
      </c>
      <c r="F6724" s="2">
        <v>24</v>
      </c>
      <c r="G6724" s="2"/>
    </row>
    <row r="6725" spans="1:26" customHeight="1" ht="36" hidden="true" outlineLevel="4">
      <c r="A6725" s="2" t="s">
        <v>12714</v>
      </c>
      <c r="B6725" s="3" t="s">
        <v>12715</v>
      </c>
      <c r="C6725" s="2"/>
      <c r="D6725" s="2" t="s">
        <v>16</v>
      </c>
      <c r="E6725" s="4">
        <f>147.37*(1-Z1%)</f>
        <v>147.37</v>
      </c>
      <c r="F6725" s="2">
        <v>2</v>
      </c>
      <c r="G6725" s="2"/>
    </row>
    <row r="6726" spans="1:26" customHeight="1" ht="35" hidden="true" outlineLevel="4">
      <c r="A6726" s="5" t="s">
        <v>12716</v>
      </c>
      <c r="B6726" s="5"/>
      <c r="C6726" s="5"/>
      <c r="D6726" s="5"/>
      <c r="E6726" s="5"/>
      <c r="F6726" s="5"/>
      <c r="G6726" s="5"/>
    </row>
    <row r="6727" spans="1:26" customHeight="1" ht="18" hidden="true" outlineLevel="4">
      <c r="A6727" s="2" t="s">
        <v>12717</v>
      </c>
      <c r="B6727" s="3" t="s">
        <v>12718</v>
      </c>
      <c r="C6727" s="2"/>
      <c r="D6727" s="2" t="s">
        <v>16</v>
      </c>
      <c r="E6727" s="4">
        <f>54.34*(1-Z1%)</f>
        <v>54.34</v>
      </c>
      <c r="F6727" s="2">
        <v>13</v>
      </c>
      <c r="G6727" s="2"/>
    </row>
    <row r="6728" spans="1:26" customHeight="1" ht="35" hidden="true" outlineLevel="4">
      <c r="A6728" s="5" t="s">
        <v>12719</v>
      </c>
      <c r="B6728" s="5"/>
      <c r="C6728" s="5"/>
      <c r="D6728" s="5"/>
      <c r="E6728" s="5"/>
      <c r="F6728" s="5"/>
      <c r="G6728" s="5"/>
    </row>
    <row r="6729" spans="1:26" customHeight="1" ht="36" hidden="true" outlineLevel="4">
      <c r="A6729" s="2" t="s">
        <v>12720</v>
      </c>
      <c r="B6729" s="3" t="s">
        <v>12721</v>
      </c>
      <c r="C6729" s="2"/>
      <c r="D6729" s="2" t="s">
        <v>16</v>
      </c>
      <c r="E6729" s="4">
        <f>49.50*(1-Z1%)</f>
        <v>49.5</v>
      </c>
      <c r="F6729" s="2">
        <v>7</v>
      </c>
      <c r="G6729" s="2"/>
    </row>
    <row r="6730" spans="1:26" customHeight="1" ht="18" hidden="true" outlineLevel="4">
      <c r="A6730" s="2" t="s">
        <v>12722</v>
      </c>
      <c r="B6730" s="3" t="s">
        <v>12723</v>
      </c>
      <c r="C6730" s="2"/>
      <c r="D6730" s="2" t="s">
        <v>16</v>
      </c>
      <c r="E6730" s="4">
        <f>321.75*(1-Z1%)</f>
        <v>321.75</v>
      </c>
      <c r="F6730" s="2">
        <v>2</v>
      </c>
      <c r="G6730" s="2"/>
    </row>
    <row r="6731" spans="1:26" customHeight="1" ht="36" hidden="true" outlineLevel="4">
      <c r="A6731" s="2" t="s">
        <v>12724</v>
      </c>
      <c r="B6731" s="3" t="s">
        <v>12725</v>
      </c>
      <c r="C6731" s="2"/>
      <c r="D6731" s="2" t="s">
        <v>16</v>
      </c>
      <c r="E6731" s="4">
        <f>345.27*(1-Z1%)</f>
        <v>345.27</v>
      </c>
      <c r="F6731" s="2">
        <v>6</v>
      </c>
      <c r="G6731" s="2"/>
    </row>
    <row r="6732" spans="1:26" customHeight="1" ht="35" hidden="true" outlineLevel="4">
      <c r="A6732" s="5" t="s">
        <v>12726</v>
      </c>
      <c r="B6732" s="5"/>
      <c r="C6732" s="5"/>
      <c r="D6732" s="5"/>
      <c r="E6732" s="5"/>
      <c r="F6732" s="5"/>
      <c r="G6732" s="5"/>
    </row>
    <row r="6733" spans="1:26" customHeight="1" ht="36" hidden="true" outlineLevel="4">
      <c r="A6733" s="2" t="s">
        <v>12727</v>
      </c>
      <c r="B6733" s="3" t="s">
        <v>12728</v>
      </c>
      <c r="C6733" s="2"/>
      <c r="D6733" s="2" t="s">
        <v>16</v>
      </c>
      <c r="E6733" s="4">
        <f>43.32*(1-Z1%)</f>
        <v>43.32</v>
      </c>
      <c r="F6733" s="2">
        <v>2</v>
      </c>
      <c r="G6733" s="2"/>
    </row>
    <row r="6734" spans="1:26" customHeight="1" ht="36" hidden="true" outlineLevel="4">
      <c r="A6734" s="2" t="s">
        <v>12729</v>
      </c>
      <c r="B6734" s="3" t="s">
        <v>12730</v>
      </c>
      <c r="C6734" s="2"/>
      <c r="D6734" s="2" t="s">
        <v>16</v>
      </c>
      <c r="E6734" s="4">
        <f>55.69*(1-Z1%)</f>
        <v>55.69</v>
      </c>
      <c r="F6734" s="2">
        <v>1</v>
      </c>
      <c r="G6734" s="2"/>
    </row>
    <row r="6735" spans="1:26" customHeight="1" ht="18" hidden="true" outlineLevel="4">
      <c r="A6735" s="2" t="s">
        <v>12731</v>
      </c>
      <c r="B6735" s="3" t="s">
        <v>12732</v>
      </c>
      <c r="C6735" s="2"/>
      <c r="D6735" s="2" t="s">
        <v>16</v>
      </c>
      <c r="E6735" s="4">
        <f>173.25*(1-Z1%)</f>
        <v>173.25</v>
      </c>
      <c r="F6735" s="2">
        <v>4</v>
      </c>
      <c r="G6735" s="2"/>
    </row>
    <row r="6736" spans="1:26" customHeight="1" ht="35" hidden="true" outlineLevel="4">
      <c r="A6736" s="5" t="s">
        <v>12733</v>
      </c>
      <c r="B6736" s="5"/>
      <c r="C6736" s="5"/>
      <c r="D6736" s="5"/>
      <c r="E6736" s="5"/>
      <c r="F6736" s="5"/>
      <c r="G6736" s="5"/>
    </row>
    <row r="6737" spans="1:26" customHeight="1" ht="36" hidden="true" outlineLevel="4">
      <c r="A6737" s="2" t="s">
        <v>12734</v>
      </c>
      <c r="B6737" s="3" t="s">
        <v>12735</v>
      </c>
      <c r="C6737" s="2"/>
      <c r="D6737" s="2" t="s">
        <v>16</v>
      </c>
      <c r="E6737" s="4">
        <f>33.03*(1-Z1%)</f>
        <v>33.03</v>
      </c>
      <c r="F6737" s="2">
        <v>3</v>
      </c>
      <c r="G6737" s="2"/>
    </row>
    <row r="6738" spans="1:26" customHeight="1" ht="18" hidden="true" outlineLevel="4">
      <c r="A6738" s="2" t="s">
        <v>12736</v>
      </c>
      <c r="B6738" s="3" t="s">
        <v>12737</v>
      </c>
      <c r="C6738" s="2"/>
      <c r="D6738" s="2" t="s">
        <v>16</v>
      </c>
      <c r="E6738" s="4">
        <f>37.13*(1-Z1%)</f>
        <v>37.13</v>
      </c>
      <c r="F6738" s="2">
        <v>4</v>
      </c>
      <c r="G6738" s="2"/>
    </row>
    <row r="6739" spans="1:26" customHeight="1" ht="35" hidden="true" outlineLevel="3">
      <c r="A6739" s="5" t="s">
        <v>12738</v>
      </c>
      <c r="B6739" s="5"/>
      <c r="C6739" s="5"/>
      <c r="D6739" s="5"/>
      <c r="E6739" s="5"/>
      <c r="F6739" s="5"/>
      <c r="G6739" s="5"/>
    </row>
    <row r="6740" spans="1:26" customHeight="1" ht="18" hidden="true" outlineLevel="3">
      <c r="A6740" s="2" t="s">
        <v>12739</v>
      </c>
      <c r="B6740" s="3" t="s">
        <v>12740</v>
      </c>
      <c r="C6740" s="2"/>
      <c r="D6740" s="2" t="s">
        <v>16</v>
      </c>
      <c r="E6740" s="4">
        <f>397.89*(1-Z1%)</f>
        <v>397.89</v>
      </c>
      <c r="F6740" s="2">
        <v>1</v>
      </c>
      <c r="G6740" s="2"/>
    </row>
    <row r="6741" spans="1:26" customHeight="1" ht="35" hidden="true" outlineLevel="3">
      <c r="A6741" s="5" t="s">
        <v>12741</v>
      </c>
      <c r="B6741" s="5"/>
      <c r="C6741" s="5"/>
      <c r="D6741" s="5"/>
      <c r="E6741" s="5"/>
      <c r="F6741" s="5"/>
      <c r="G6741" s="5"/>
    </row>
    <row r="6742" spans="1:26" customHeight="1" ht="36" hidden="true" outlineLevel="3">
      <c r="A6742" s="2" t="s">
        <v>12742</v>
      </c>
      <c r="B6742" s="3" t="s">
        <v>12743</v>
      </c>
      <c r="C6742" s="2"/>
      <c r="D6742" s="2" t="s">
        <v>16</v>
      </c>
      <c r="E6742" s="4">
        <f>92.82*(1-Z1%)</f>
        <v>92.82</v>
      </c>
      <c r="F6742" s="2">
        <v>3</v>
      </c>
      <c r="G6742" s="2"/>
    </row>
    <row r="6743" spans="1:26" customHeight="1" ht="36" hidden="true" outlineLevel="3">
      <c r="A6743" s="2" t="s">
        <v>12744</v>
      </c>
      <c r="B6743" s="3" t="s">
        <v>12745</v>
      </c>
      <c r="C6743" s="2"/>
      <c r="D6743" s="2" t="s">
        <v>16</v>
      </c>
      <c r="E6743" s="4">
        <f>74.25*(1-Z1%)</f>
        <v>74.25</v>
      </c>
      <c r="F6743" s="2">
        <v>9</v>
      </c>
      <c r="G6743" s="2"/>
    </row>
    <row r="6744" spans="1:26" customHeight="1" ht="18" hidden="true" outlineLevel="3">
      <c r="A6744" s="2" t="s">
        <v>12746</v>
      </c>
      <c r="B6744" s="3" t="s">
        <v>12747</v>
      </c>
      <c r="C6744" s="2"/>
      <c r="D6744" s="2" t="s">
        <v>16</v>
      </c>
      <c r="E6744" s="4">
        <f>130.18*(1-Z1%)</f>
        <v>130.18</v>
      </c>
      <c r="F6744" s="2">
        <v>6</v>
      </c>
      <c r="G6744" s="2"/>
    </row>
    <row r="6745" spans="1:26" customHeight="1" ht="36" hidden="true" outlineLevel="3">
      <c r="A6745" s="2" t="s">
        <v>12748</v>
      </c>
      <c r="B6745" s="3" t="s">
        <v>12749</v>
      </c>
      <c r="C6745" s="2"/>
      <c r="D6745" s="2" t="s">
        <v>16</v>
      </c>
      <c r="E6745" s="4">
        <f>49.50*(1-Z1%)</f>
        <v>49.5</v>
      </c>
      <c r="F6745" s="2">
        <v>3</v>
      </c>
      <c r="G6745" s="2"/>
    </row>
    <row r="6746" spans="1:26" customHeight="1" ht="18" hidden="true" outlineLevel="3">
      <c r="A6746" s="2" t="s">
        <v>12750</v>
      </c>
      <c r="B6746" s="3" t="s">
        <v>12751</v>
      </c>
      <c r="C6746" s="2"/>
      <c r="D6746" s="2" t="s">
        <v>16</v>
      </c>
      <c r="E6746" s="4">
        <f>43.32*(1-Z1%)</f>
        <v>43.32</v>
      </c>
      <c r="F6746" s="2">
        <v>6</v>
      </c>
      <c r="G6746" s="2"/>
    </row>
    <row r="6747" spans="1:26" customHeight="1" ht="18" hidden="true" outlineLevel="3">
      <c r="A6747" s="2" t="s">
        <v>12752</v>
      </c>
      <c r="B6747" s="3" t="s">
        <v>12753</v>
      </c>
      <c r="C6747" s="2"/>
      <c r="D6747" s="2" t="s">
        <v>16</v>
      </c>
      <c r="E6747" s="4">
        <f>49.50*(1-Z1%)</f>
        <v>49.5</v>
      </c>
      <c r="F6747" s="2">
        <v>6</v>
      </c>
      <c r="G6747" s="2"/>
    </row>
    <row r="6748" spans="1:26" customHeight="1" ht="18" hidden="true" outlineLevel="3">
      <c r="A6748" s="2" t="s">
        <v>12754</v>
      </c>
      <c r="B6748" s="3" t="s">
        <v>12755</v>
      </c>
      <c r="C6748" s="2"/>
      <c r="D6748" s="2" t="s">
        <v>16</v>
      </c>
      <c r="E6748" s="4">
        <f>61.88*(1-Z1%)</f>
        <v>61.88</v>
      </c>
      <c r="F6748" s="2">
        <v>5</v>
      </c>
      <c r="G6748" s="2"/>
    </row>
    <row r="6749" spans="1:26" customHeight="1" ht="18" hidden="true" outlineLevel="3">
      <c r="A6749" s="2" t="s">
        <v>12756</v>
      </c>
      <c r="B6749" s="3" t="s">
        <v>12757</v>
      </c>
      <c r="C6749" s="2"/>
      <c r="D6749" s="2" t="s">
        <v>16</v>
      </c>
      <c r="E6749" s="4">
        <f>55.69*(1-Z1%)</f>
        <v>55.69</v>
      </c>
      <c r="F6749" s="2">
        <v>11</v>
      </c>
      <c r="G6749" s="2"/>
    </row>
    <row r="6750" spans="1:26" customHeight="1" ht="18" hidden="true" outlineLevel="3">
      <c r="A6750" s="2" t="s">
        <v>12758</v>
      </c>
      <c r="B6750" s="3" t="s">
        <v>12759</v>
      </c>
      <c r="C6750" s="2"/>
      <c r="D6750" s="2" t="s">
        <v>16</v>
      </c>
      <c r="E6750" s="4">
        <f>61.88*(1-Z1%)</f>
        <v>61.88</v>
      </c>
      <c r="F6750" s="2">
        <v>1</v>
      </c>
      <c r="G6750" s="2"/>
    </row>
    <row r="6751" spans="1:26" customHeight="1" ht="18" hidden="true" outlineLevel="3">
      <c r="A6751" s="2" t="s">
        <v>12760</v>
      </c>
      <c r="B6751" s="3" t="s">
        <v>12761</v>
      </c>
      <c r="C6751" s="2"/>
      <c r="D6751" s="2" t="s">
        <v>16</v>
      </c>
      <c r="E6751" s="4">
        <f>117.57*(1-Z1%)</f>
        <v>117.57</v>
      </c>
      <c r="F6751" s="2">
        <v>1</v>
      </c>
      <c r="G6751" s="2"/>
    </row>
    <row r="6752" spans="1:26" customHeight="1" ht="18" hidden="true" outlineLevel="3">
      <c r="A6752" s="2" t="s">
        <v>12762</v>
      </c>
      <c r="B6752" s="3" t="s">
        <v>12763</v>
      </c>
      <c r="C6752" s="2"/>
      <c r="D6752" s="2" t="s">
        <v>16</v>
      </c>
      <c r="E6752" s="4">
        <f>123.75*(1-Z1%)</f>
        <v>123.75</v>
      </c>
      <c r="F6752" s="2">
        <v>1</v>
      </c>
      <c r="G6752" s="2"/>
    </row>
    <row r="6753" spans="1:26" customHeight="1" ht="18" hidden="true" outlineLevel="3">
      <c r="A6753" s="2" t="s">
        <v>12764</v>
      </c>
      <c r="B6753" s="3" t="s">
        <v>12765</v>
      </c>
      <c r="C6753" s="2"/>
      <c r="D6753" s="2" t="s">
        <v>16</v>
      </c>
      <c r="E6753" s="4">
        <f>136.13*(1-Z1%)</f>
        <v>136.13</v>
      </c>
      <c r="F6753" s="2">
        <v>3</v>
      </c>
      <c r="G6753" s="2"/>
    </row>
    <row r="6754" spans="1:26" customHeight="1" ht="18" hidden="true" outlineLevel="3">
      <c r="A6754" s="2" t="s">
        <v>12766</v>
      </c>
      <c r="B6754" s="3" t="s">
        <v>12765</v>
      </c>
      <c r="C6754" s="2"/>
      <c r="D6754" s="2" t="s">
        <v>16</v>
      </c>
      <c r="E6754" s="4">
        <f>142.32*(1-Z1%)</f>
        <v>142.32</v>
      </c>
      <c r="F6754" s="2">
        <v>2</v>
      </c>
      <c r="G6754" s="2"/>
    </row>
    <row r="6755" spans="1:26" customHeight="1" ht="36" hidden="true" outlineLevel="3">
      <c r="A6755" s="2" t="s">
        <v>12767</v>
      </c>
      <c r="B6755" s="3" t="s">
        <v>12768</v>
      </c>
      <c r="C6755" s="2"/>
      <c r="D6755" s="2" t="s">
        <v>16</v>
      </c>
      <c r="E6755" s="4">
        <f>303.19*(1-Z1%)</f>
        <v>303.19</v>
      </c>
      <c r="F6755" s="2">
        <v>1</v>
      </c>
      <c r="G6755" s="2"/>
    </row>
    <row r="6756" spans="1:26" customHeight="1" ht="35" hidden="true" outlineLevel="3">
      <c r="A6756" s="5" t="s">
        <v>12769</v>
      </c>
      <c r="B6756" s="5"/>
      <c r="C6756" s="5"/>
      <c r="D6756" s="5"/>
      <c r="E6756" s="5"/>
      <c r="F6756" s="5"/>
      <c r="G6756" s="5"/>
    </row>
    <row r="6757" spans="1:26" customHeight="1" ht="36" hidden="true" outlineLevel="3">
      <c r="A6757" s="2" t="s">
        <v>12770</v>
      </c>
      <c r="B6757" s="3" t="s">
        <v>12771</v>
      </c>
      <c r="C6757" s="2"/>
      <c r="D6757" s="2" t="s">
        <v>16</v>
      </c>
      <c r="E6757" s="4">
        <f>103.95*(1-Z1%)</f>
        <v>103.95</v>
      </c>
      <c r="F6757" s="2">
        <v>2</v>
      </c>
      <c r="G6757" s="2"/>
    </row>
    <row r="6758" spans="1:26" customHeight="1" ht="36" hidden="true" outlineLevel="3">
      <c r="A6758" s="2" t="s">
        <v>12772</v>
      </c>
      <c r="B6758" s="3" t="s">
        <v>12773</v>
      </c>
      <c r="C6758" s="2"/>
      <c r="D6758" s="2" t="s">
        <v>16</v>
      </c>
      <c r="E6758" s="4">
        <f>103.95*(1-Z1%)</f>
        <v>103.95</v>
      </c>
      <c r="F6758" s="2">
        <v>2</v>
      </c>
      <c r="G6758" s="2"/>
    </row>
    <row r="6759" spans="1:26" customHeight="1" ht="36" hidden="true" outlineLevel="3">
      <c r="A6759" s="2" t="s">
        <v>12774</v>
      </c>
      <c r="B6759" s="3" t="s">
        <v>12775</v>
      </c>
      <c r="C6759" s="2"/>
      <c r="D6759" s="2" t="s">
        <v>16</v>
      </c>
      <c r="E6759" s="4">
        <f>103.95*(1-Z1%)</f>
        <v>103.95</v>
      </c>
      <c r="F6759" s="2">
        <v>2</v>
      </c>
      <c r="G6759" s="2"/>
    </row>
    <row r="6760" spans="1:26" customHeight="1" ht="36" hidden="true" outlineLevel="3">
      <c r="A6760" s="2" t="s">
        <v>12776</v>
      </c>
      <c r="B6760" s="3" t="s">
        <v>12777</v>
      </c>
      <c r="C6760" s="2"/>
      <c r="D6760" s="2" t="s">
        <v>16</v>
      </c>
      <c r="E6760" s="4">
        <f>103.95*(1-Z1%)</f>
        <v>103.95</v>
      </c>
      <c r="F6760" s="2">
        <v>1</v>
      </c>
      <c r="G6760" s="2"/>
    </row>
    <row r="6761" spans="1:26" customHeight="1" ht="35" hidden="true" outlineLevel="3">
      <c r="A6761" s="5" t="s">
        <v>12778</v>
      </c>
      <c r="B6761" s="5"/>
      <c r="C6761" s="5"/>
      <c r="D6761" s="5"/>
      <c r="E6761" s="5"/>
      <c r="F6761" s="5"/>
      <c r="G6761" s="5"/>
    </row>
    <row r="6762" spans="1:26" customHeight="1" ht="18" hidden="true" outlineLevel="3">
      <c r="A6762" s="2" t="s">
        <v>12779</v>
      </c>
      <c r="B6762" s="3" t="s">
        <v>12780</v>
      </c>
      <c r="C6762" s="2"/>
      <c r="D6762" s="2" t="s">
        <v>16</v>
      </c>
      <c r="E6762" s="4">
        <f>472.50*(1-Z1%)</f>
        <v>472.5</v>
      </c>
      <c r="F6762" s="2">
        <v>7</v>
      </c>
      <c r="G6762" s="2"/>
    </row>
    <row r="6763" spans="1:26" customHeight="1" ht="35" hidden="true" outlineLevel="3">
      <c r="A6763" s="5" t="s">
        <v>12781</v>
      </c>
      <c r="B6763" s="5"/>
      <c r="C6763" s="5"/>
      <c r="D6763" s="5"/>
      <c r="E6763" s="5"/>
      <c r="F6763" s="5"/>
      <c r="G6763" s="5"/>
    </row>
    <row r="6764" spans="1:26" customHeight="1" ht="36" hidden="true" outlineLevel="3">
      <c r="A6764" s="2" t="s">
        <v>12782</v>
      </c>
      <c r="B6764" s="3" t="s">
        <v>12783</v>
      </c>
      <c r="C6764" s="2"/>
      <c r="D6764" s="2" t="s">
        <v>16</v>
      </c>
      <c r="E6764" s="4">
        <f>519.75*(1-Z1%)</f>
        <v>519.75</v>
      </c>
      <c r="F6764" s="2">
        <v>1</v>
      </c>
      <c r="G6764" s="2"/>
    </row>
    <row r="6765" spans="1:26" customHeight="1" ht="36" hidden="true" outlineLevel="3">
      <c r="A6765" s="2" t="s">
        <v>12784</v>
      </c>
      <c r="B6765" s="3" t="s">
        <v>12785</v>
      </c>
      <c r="C6765" s="2"/>
      <c r="D6765" s="2" t="s">
        <v>16</v>
      </c>
      <c r="E6765" s="4">
        <f>519.75*(1-Z1%)</f>
        <v>519.75</v>
      </c>
      <c r="F6765" s="2">
        <v>2</v>
      </c>
      <c r="G6765" s="2"/>
    </row>
    <row r="6766" spans="1:26" customHeight="1" ht="18" hidden="true" outlineLevel="3">
      <c r="A6766" s="2" t="s">
        <v>12786</v>
      </c>
      <c r="B6766" s="3" t="s">
        <v>12787</v>
      </c>
      <c r="C6766" s="2"/>
      <c r="D6766" s="2" t="s">
        <v>16</v>
      </c>
      <c r="E6766" s="4">
        <f>80.44*(1-Z1%)</f>
        <v>80.44</v>
      </c>
      <c r="F6766" s="2">
        <v>1</v>
      </c>
      <c r="G6766" s="2"/>
    </row>
    <row r="6767" spans="1:26" customHeight="1" ht="18" hidden="true" outlineLevel="3">
      <c r="A6767" s="2" t="s">
        <v>12788</v>
      </c>
      <c r="B6767" s="3" t="s">
        <v>12789</v>
      </c>
      <c r="C6767" s="2"/>
      <c r="D6767" s="2" t="s">
        <v>16</v>
      </c>
      <c r="E6767" s="4">
        <f>129.94*(1-Z1%)</f>
        <v>129.94</v>
      </c>
      <c r="F6767" s="2">
        <v>2</v>
      </c>
      <c r="G6767" s="2"/>
    </row>
    <row r="6768" spans="1:26" customHeight="1" ht="18" hidden="true" outlineLevel="3">
      <c r="A6768" s="2" t="s">
        <v>12790</v>
      </c>
      <c r="B6768" s="3" t="s">
        <v>12791</v>
      </c>
      <c r="C6768" s="2"/>
      <c r="D6768" s="2" t="s">
        <v>16</v>
      </c>
      <c r="E6768" s="4">
        <f>129.94*(1-Z1%)</f>
        <v>129.94</v>
      </c>
      <c r="F6768" s="2">
        <v>2</v>
      </c>
      <c r="G6768" s="2"/>
    </row>
    <row r="6769" spans="1:26" customHeight="1" ht="35" hidden="true" outlineLevel="3">
      <c r="A6769" s="5" t="s">
        <v>12792</v>
      </c>
      <c r="B6769" s="5"/>
      <c r="C6769" s="5"/>
      <c r="D6769" s="5"/>
      <c r="E6769" s="5"/>
      <c r="F6769" s="5"/>
      <c r="G6769" s="5"/>
    </row>
    <row r="6770" spans="1:26" customHeight="1" ht="36" hidden="true" outlineLevel="3">
      <c r="A6770" s="2" t="s">
        <v>12793</v>
      </c>
      <c r="B6770" s="3" t="s">
        <v>12794</v>
      </c>
      <c r="C6770" s="2"/>
      <c r="D6770" s="2" t="s">
        <v>16</v>
      </c>
      <c r="E6770" s="4">
        <f>80.44*(1-Z1%)</f>
        <v>80.44</v>
      </c>
      <c r="F6770" s="2">
        <v>5</v>
      </c>
      <c r="G6770" s="2"/>
    </row>
    <row r="6771" spans="1:26" customHeight="1" ht="36" hidden="true" outlineLevel="3">
      <c r="A6771" s="2" t="s">
        <v>12795</v>
      </c>
      <c r="B6771" s="3" t="s">
        <v>12796</v>
      </c>
      <c r="C6771" s="2"/>
      <c r="D6771" s="2" t="s">
        <v>16</v>
      </c>
      <c r="E6771" s="4">
        <f>210.38*(1-Z1%)</f>
        <v>210.38</v>
      </c>
      <c r="F6771" s="2">
        <v>4</v>
      </c>
      <c r="G6771" s="2"/>
    </row>
    <row r="6772" spans="1:26" customHeight="1" ht="35" hidden="true" outlineLevel="3">
      <c r="A6772" s="5" t="s">
        <v>12797</v>
      </c>
      <c r="B6772" s="5"/>
      <c r="C6772" s="5"/>
      <c r="D6772" s="5"/>
      <c r="E6772" s="5"/>
      <c r="F6772" s="5"/>
      <c r="G6772" s="5"/>
    </row>
    <row r="6773" spans="1:26" customHeight="1" ht="54" hidden="true" outlineLevel="3">
      <c r="A6773" s="2" t="s">
        <v>12798</v>
      </c>
      <c r="B6773" s="3" t="s">
        <v>12799</v>
      </c>
      <c r="C6773" s="2"/>
      <c r="D6773" s="2" t="s">
        <v>16</v>
      </c>
      <c r="E6773" s="4">
        <f>80.44*(1-Z1%)</f>
        <v>80.44</v>
      </c>
      <c r="F6773" s="2">
        <v>8</v>
      </c>
      <c r="G6773" s="2"/>
    </row>
    <row r="6774" spans="1:26" customHeight="1" ht="54" hidden="true" outlineLevel="3">
      <c r="A6774" s="2" t="s">
        <v>12800</v>
      </c>
      <c r="B6774" s="3" t="s">
        <v>12801</v>
      </c>
      <c r="C6774" s="2"/>
      <c r="D6774" s="2" t="s">
        <v>16</v>
      </c>
      <c r="E6774" s="4">
        <f>123.75*(1-Z1%)</f>
        <v>123.75</v>
      </c>
      <c r="F6774" s="2">
        <v>1</v>
      </c>
      <c r="G6774" s="2"/>
    </row>
    <row r="6775" spans="1:26" customHeight="1" ht="35" hidden="true" outlineLevel="3">
      <c r="A6775" s="5" t="s">
        <v>12802</v>
      </c>
      <c r="B6775" s="5"/>
      <c r="C6775" s="5"/>
      <c r="D6775" s="5"/>
      <c r="E6775" s="5"/>
      <c r="F6775" s="5"/>
      <c r="G6775" s="5"/>
    </row>
    <row r="6776" spans="1:26" customHeight="1" ht="36" hidden="true" outlineLevel="3">
      <c r="A6776" s="2" t="s">
        <v>12803</v>
      </c>
      <c r="B6776" s="3" t="s">
        <v>12804</v>
      </c>
      <c r="C6776" s="2"/>
      <c r="D6776" s="2" t="s">
        <v>16</v>
      </c>
      <c r="E6776" s="4">
        <f>259.88*(1-Z1%)</f>
        <v>259.88</v>
      </c>
      <c r="F6776" s="2">
        <v>1</v>
      </c>
      <c r="G6776" s="2"/>
    </row>
    <row r="6777" spans="1:26" customHeight="1" ht="18" hidden="true" outlineLevel="3">
      <c r="A6777" s="2" t="s">
        <v>12805</v>
      </c>
      <c r="B6777" s="3" t="s">
        <v>12806</v>
      </c>
      <c r="C6777" s="2"/>
      <c r="D6777" s="2" t="s">
        <v>16</v>
      </c>
      <c r="E6777" s="4">
        <f>185.63*(1-Z1%)</f>
        <v>185.63</v>
      </c>
      <c r="F6777" s="2">
        <v>2</v>
      </c>
      <c r="G6777" s="2"/>
    </row>
    <row r="6778" spans="1:26" customHeight="1" ht="18" hidden="true" outlineLevel="3">
      <c r="A6778" s="2" t="s">
        <v>12807</v>
      </c>
      <c r="B6778" s="3" t="s">
        <v>12808</v>
      </c>
      <c r="C6778" s="2"/>
      <c r="D6778" s="2" t="s">
        <v>16</v>
      </c>
      <c r="E6778" s="4">
        <f>349.84*(1-Z1%)</f>
        <v>349.84</v>
      </c>
      <c r="F6778" s="2">
        <v>1</v>
      </c>
      <c r="G6778" s="2"/>
    </row>
    <row r="6779" spans="1:26" customHeight="1" ht="18" hidden="true" outlineLevel="3">
      <c r="A6779" s="2" t="s">
        <v>12809</v>
      </c>
      <c r="B6779" s="3" t="s">
        <v>12810</v>
      </c>
      <c r="C6779" s="2"/>
      <c r="D6779" s="2" t="s">
        <v>16</v>
      </c>
      <c r="E6779" s="4">
        <f>280.13*(1-Z1%)</f>
        <v>280.13</v>
      </c>
      <c r="F6779" s="2">
        <v>4</v>
      </c>
      <c r="G6779" s="2"/>
    </row>
    <row r="6780" spans="1:26" customHeight="1" ht="18" hidden="true" outlineLevel="3">
      <c r="A6780" s="2" t="s">
        <v>12811</v>
      </c>
      <c r="B6780" s="3" t="s">
        <v>12812</v>
      </c>
      <c r="C6780" s="2"/>
      <c r="D6780" s="2" t="s">
        <v>16</v>
      </c>
      <c r="E6780" s="4">
        <f>259.88*(1-Z1%)</f>
        <v>259.88</v>
      </c>
      <c r="F6780" s="2">
        <v>6</v>
      </c>
      <c r="G6780" s="2"/>
    </row>
    <row r="6781" spans="1:26" customHeight="1" ht="36" hidden="true" outlineLevel="3">
      <c r="A6781" s="2" t="s">
        <v>12813</v>
      </c>
      <c r="B6781" s="3" t="s">
        <v>12814</v>
      </c>
      <c r="C6781" s="2"/>
      <c r="D6781" s="2" t="s">
        <v>16</v>
      </c>
      <c r="E6781" s="4">
        <f>235.13*(1-Z1%)</f>
        <v>235.13</v>
      </c>
      <c r="F6781" s="2">
        <v>5</v>
      </c>
      <c r="G6781" s="2"/>
    </row>
    <row r="6782" spans="1:26" customHeight="1" ht="35" hidden="true" outlineLevel="3">
      <c r="A6782" s="5" t="s">
        <v>12815</v>
      </c>
      <c r="B6782" s="5"/>
      <c r="C6782" s="5"/>
      <c r="D6782" s="5"/>
      <c r="E6782" s="5"/>
      <c r="F6782" s="5"/>
      <c r="G6782" s="5"/>
    </row>
    <row r="6783" spans="1:26" customHeight="1" ht="36" hidden="true" outlineLevel="3">
      <c r="A6783" s="2" t="s">
        <v>12816</v>
      </c>
      <c r="B6783" s="3" t="s">
        <v>12817</v>
      </c>
      <c r="C6783" s="2"/>
      <c r="D6783" s="2" t="s">
        <v>16</v>
      </c>
      <c r="E6783" s="4">
        <f>86.63*(1-Z1%)</f>
        <v>86.63</v>
      </c>
      <c r="F6783" s="2">
        <v>6</v>
      </c>
      <c r="G6783" s="2"/>
    </row>
    <row r="6784" spans="1:26" customHeight="1" ht="35" hidden="true" outlineLevel="3">
      <c r="A6784" s="5" t="s">
        <v>12818</v>
      </c>
      <c r="B6784" s="5"/>
      <c r="C6784" s="5"/>
      <c r="D6784" s="5"/>
      <c r="E6784" s="5"/>
      <c r="F6784" s="5"/>
      <c r="G6784" s="5"/>
    </row>
    <row r="6785" spans="1:26" customHeight="1" ht="36" hidden="true" outlineLevel="3">
      <c r="A6785" s="2" t="s">
        <v>12819</v>
      </c>
      <c r="B6785" s="3" t="s">
        <v>12820</v>
      </c>
      <c r="C6785" s="2"/>
      <c r="D6785" s="2" t="s">
        <v>16</v>
      </c>
      <c r="E6785" s="4">
        <f>99.00*(1-Z1%)</f>
        <v>99</v>
      </c>
      <c r="F6785" s="2">
        <v>14</v>
      </c>
      <c r="G6785" s="2"/>
    </row>
    <row r="6786" spans="1:26" customHeight="1" ht="36" hidden="true" outlineLevel="3">
      <c r="A6786" s="2" t="s">
        <v>12821</v>
      </c>
      <c r="B6786" s="3" t="s">
        <v>12822</v>
      </c>
      <c r="C6786" s="2"/>
      <c r="D6786" s="2" t="s">
        <v>16</v>
      </c>
      <c r="E6786" s="4">
        <f>99.00*(1-Z1%)</f>
        <v>99</v>
      </c>
      <c r="F6786" s="2">
        <v>6</v>
      </c>
      <c r="G6786" s="2"/>
    </row>
    <row r="6787" spans="1:26" customHeight="1" ht="36" hidden="true" outlineLevel="3">
      <c r="A6787" s="2" t="s">
        <v>12823</v>
      </c>
      <c r="B6787" s="3" t="s">
        <v>12824</v>
      </c>
      <c r="C6787" s="2"/>
      <c r="D6787" s="2" t="s">
        <v>16</v>
      </c>
      <c r="E6787" s="4">
        <f>167.07*(1-Z1%)</f>
        <v>167.07</v>
      </c>
      <c r="F6787" s="2">
        <v>3</v>
      </c>
      <c r="G6787" s="2"/>
    </row>
    <row r="6788" spans="1:26" customHeight="1" ht="36" hidden="true" outlineLevel="3">
      <c r="A6788" s="2" t="s">
        <v>12825</v>
      </c>
      <c r="B6788" s="3" t="s">
        <v>12826</v>
      </c>
      <c r="C6788" s="2"/>
      <c r="D6788" s="2" t="s">
        <v>16</v>
      </c>
      <c r="E6788" s="4">
        <f>173.25*(1-Z1%)</f>
        <v>173.25</v>
      </c>
      <c r="F6788" s="2">
        <v>6</v>
      </c>
      <c r="G6788" s="2"/>
    </row>
    <row r="6789" spans="1:26" customHeight="1" ht="18" hidden="true" outlineLevel="3">
      <c r="A6789" s="2" t="s">
        <v>12827</v>
      </c>
      <c r="B6789" s="3" t="s">
        <v>12828</v>
      </c>
      <c r="C6789" s="2"/>
      <c r="D6789" s="2" t="s">
        <v>16</v>
      </c>
      <c r="E6789" s="4">
        <f>136.13*(1-Z1%)</f>
        <v>136.13</v>
      </c>
      <c r="F6789" s="2">
        <v>5</v>
      </c>
      <c r="G6789" s="2"/>
    </row>
    <row r="6790" spans="1:26" customHeight="1" ht="36" hidden="true" outlineLevel="3">
      <c r="A6790" s="2" t="s">
        <v>12829</v>
      </c>
      <c r="B6790" s="3" t="s">
        <v>12830</v>
      </c>
      <c r="C6790" s="2"/>
      <c r="D6790" s="2" t="s">
        <v>16</v>
      </c>
      <c r="E6790" s="4">
        <f>346.50*(1-Z1%)</f>
        <v>346.5</v>
      </c>
      <c r="F6790" s="2">
        <v>5</v>
      </c>
      <c r="G6790" s="2"/>
    </row>
    <row r="6791" spans="1:26" customHeight="1" ht="36" hidden="true" outlineLevel="3">
      <c r="A6791" s="2" t="s">
        <v>12831</v>
      </c>
      <c r="B6791" s="3" t="s">
        <v>12832</v>
      </c>
      <c r="C6791" s="2"/>
      <c r="D6791" s="2" t="s">
        <v>16</v>
      </c>
      <c r="E6791" s="4">
        <f>65.09*(1-Z1%)</f>
        <v>65.09</v>
      </c>
      <c r="F6791" s="2">
        <v>1</v>
      </c>
      <c r="G6791" s="2"/>
    </row>
    <row r="6792" spans="1:26" customHeight="1" ht="36" hidden="true" outlineLevel="3">
      <c r="A6792" s="2" t="s">
        <v>12833</v>
      </c>
      <c r="B6792" s="3" t="s">
        <v>12834</v>
      </c>
      <c r="C6792" s="2"/>
      <c r="D6792" s="2" t="s">
        <v>16</v>
      </c>
      <c r="E6792" s="4">
        <f>371.25*(1-Z1%)</f>
        <v>371.25</v>
      </c>
      <c r="F6792" s="2">
        <v>8</v>
      </c>
      <c r="G6792" s="2"/>
    </row>
    <row r="6793" spans="1:26" customHeight="1" ht="35" hidden="true" outlineLevel="2">
      <c r="A6793" s="5" t="s">
        <v>12835</v>
      </c>
      <c r="B6793" s="5"/>
      <c r="C6793" s="5"/>
      <c r="D6793" s="5"/>
      <c r="E6793" s="5"/>
      <c r="F6793" s="5"/>
      <c r="G6793" s="5"/>
    </row>
    <row r="6794" spans="1:26" customHeight="1" ht="35" hidden="true" outlineLevel="3">
      <c r="A6794" s="5" t="s">
        <v>1179</v>
      </c>
      <c r="B6794" s="5"/>
      <c r="C6794" s="5"/>
      <c r="D6794" s="5"/>
      <c r="E6794" s="5"/>
      <c r="F6794" s="5"/>
      <c r="G6794" s="5"/>
    </row>
    <row r="6795" spans="1:26" customHeight="1" ht="18" hidden="true" outlineLevel="3">
      <c r="A6795" s="2" t="s">
        <v>12836</v>
      </c>
      <c r="B6795" s="3" t="s">
        <v>12837</v>
      </c>
      <c r="C6795" s="2"/>
      <c r="D6795" s="2" t="s">
        <v>16</v>
      </c>
      <c r="E6795" s="4">
        <f>15.35*(1-Z1%)</f>
        <v>15.35</v>
      </c>
      <c r="F6795" s="2">
        <v>3</v>
      </c>
      <c r="G6795" s="2"/>
    </row>
    <row r="6796" spans="1:26" customHeight="1" ht="35" hidden="true" outlineLevel="3">
      <c r="A6796" s="5" t="s">
        <v>12838</v>
      </c>
      <c r="B6796" s="5"/>
      <c r="C6796" s="5"/>
      <c r="D6796" s="5"/>
      <c r="E6796" s="5"/>
      <c r="F6796" s="5"/>
      <c r="G6796" s="5"/>
    </row>
    <row r="6797" spans="1:26" customHeight="1" ht="18" hidden="true" outlineLevel="3">
      <c r="A6797" s="2" t="s">
        <v>12839</v>
      </c>
      <c r="B6797" s="3" t="s">
        <v>12840</v>
      </c>
      <c r="C6797" s="2"/>
      <c r="D6797" s="2" t="s">
        <v>16</v>
      </c>
      <c r="E6797" s="4">
        <f>4.96*(1-Z1%)</f>
        <v>4.96</v>
      </c>
      <c r="F6797" s="2">
        <v>2</v>
      </c>
      <c r="G6797" s="2"/>
    </row>
    <row r="6798" spans="1:26" customHeight="1" ht="18" hidden="true" outlineLevel="3">
      <c r="A6798" s="2" t="s">
        <v>12841</v>
      </c>
      <c r="B6798" s="3" t="s">
        <v>12842</v>
      </c>
      <c r="C6798" s="2"/>
      <c r="D6798" s="2" t="s">
        <v>16</v>
      </c>
      <c r="E6798" s="4">
        <f>4.26*(1-Z1%)</f>
        <v>4.26</v>
      </c>
      <c r="F6798" s="2">
        <v>4</v>
      </c>
      <c r="G6798" s="2"/>
    </row>
    <row r="6799" spans="1:26" customHeight="1" ht="18" hidden="true" outlineLevel="3">
      <c r="A6799" s="2" t="s">
        <v>12843</v>
      </c>
      <c r="B6799" s="3" t="s">
        <v>12844</v>
      </c>
      <c r="C6799" s="2"/>
      <c r="D6799" s="2" t="s">
        <v>16</v>
      </c>
      <c r="E6799" s="4">
        <f>5.08*(1-Z1%)</f>
        <v>5.08</v>
      </c>
      <c r="F6799" s="2">
        <v>14</v>
      </c>
      <c r="G6799" s="2"/>
    </row>
    <row r="6800" spans="1:26" customHeight="1" ht="18" hidden="true" outlineLevel="3">
      <c r="A6800" s="2" t="s">
        <v>12845</v>
      </c>
      <c r="B6800" s="3" t="s">
        <v>12846</v>
      </c>
      <c r="C6800" s="2"/>
      <c r="D6800" s="2" t="s">
        <v>16</v>
      </c>
      <c r="E6800" s="4">
        <f>4.96*(1-Z1%)</f>
        <v>4.96</v>
      </c>
      <c r="F6800" s="2">
        <v>4</v>
      </c>
      <c r="G6800" s="2"/>
    </row>
    <row r="6801" spans="1:26" customHeight="1" ht="35" hidden="true" outlineLevel="3">
      <c r="A6801" s="5" t="s">
        <v>12847</v>
      </c>
      <c r="B6801" s="5"/>
      <c r="C6801" s="5"/>
      <c r="D6801" s="5"/>
      <c r="E6801" s="5"/>
      <c r="F6801" s="5"/>
      <c r="G6801" s="5"/>
    </row>
    <row r="6802" spans="1:26" customHeight="1" ht="18" hidden="true" outlineLevel="3">
      <c r="A6802" s="2" t="s">
        <v>12848</v>
      </c>
      <c r="B6802" s="3" t="s">
        <v>12849</v>
      </c>
      <c r="C6802" s="2"/>
      <c r="D6802" s="2" t="s">
        <v>16</v>
      </c>
      <c r="E6802" s="4">
        <f>1.71*(1-Z1%)</f>
        <v>1.71</v>
      </c>
      <c r="F6802" s="2">
        <v>100</v>
      </c>
      <c r="G6802" s="2"/>
    </row>
    <row r="6803" spans="1:26" customHeight="1" ht="18" hidden="true" outlineLevel="3">
      <c r="A6803" s="2" t="s">
        <v>12850</v>
      </c>
      <c r="B6803" s="3" t="s">
        <v>12851</v>
      </c>
      <c r="C6803" s="2"/>
      <c r="D6803" s="2" t="s">
        <v>16</v>
      </c>
      <c r="E6803" s="4">
        <f>1.66*(1-Z1%)</f>
        <v>1.66</v>
      </c>
      <c r="F6803" s="2">
        <v>104</v>
      </c>
      <c r="G6803" s="2"/>
    </row>
    <row r="6804" spans="1:26" customHeight="1" ht="18" hidden="true" outlineLevel="3">
      <c r="A6804" s="2" t="s">
        <v>12852</v>
      </c>
      <c r="B6804" s="3" t="s">
        <v>12853</v>
      </c>
      <c r="C6804" s="2"/>
      <c r="D6804" s="2" t="s">
        <v>16</v>
      </c>
      <c r="E6804" s="4">
        <f>1.70*(1-Z1%)</f>
        <v>1.7</v>
      </c>
      <c r="F6804" s="2">
        <v>3</v>
      </c>
      <c r="G6804" s="2"/>
    </row>
    <row r="6805" spans="1:26" customHeight="1" ht="18" hidden="true" outlineLevel="3">
      <c r="A6805" s="2" t="s">
        <v>12854</v>
      </c>
      <c r="B6805" s="3" t="s">
        <v>12855</v>
      </c>
      <c r="C6805" s="2"/>
      <c r="D6805" s="2" t="s">
        <v>16</v>
      </c>
      <c r="E6805" s="4">
        <f>1.71*(1-Z1%)</f>
        <v>1.71</v>
      </c>
      <c r="F6805" s="2">
        <v>100</v>
      </c>
      <c r="G6805" s="2"/>
    </row>
    <row r="6806" spans="1:26" customHeight="1" ht="18" hidden="true" outlineLevel="3">
      <c r="A6806" s="2" t="s">
        <v>12856</v>
      </c>
      <c r="B6806" s="3" t="s">
        <v>12857</v>
      </c>
      <c r="C6806" s="2"/>
      <c r="D6806" s="2" t="s">
        <v>16</v>
      </c>
      <c r="E6806" s="4">
        <f>1.66*(1-Z1%)</f>
        <v>1.66</v>
      </c>
      <c r="F6806" s="2">
        <v>100</v>
      </c>
      <c r="G6806" s="2"/>
    </row>
    <row r="6807" spans="1:26" customHeight="1" ht="35" hidden="true" outlineLevel="3">
      <c r="A6807" s="5" t="s">
        <v>12858</v>
      </c>
      <c r="B6807" s="5"/>
      <c r="C6807" s="5"/>
      <c r="D6807" s="5"/>
      <c r="E6807" s="5"/>
      <c r="F6807" s="5"/>
      <c r="G6807" s="5"/>
    </row>
    <row r="6808" spans="1:26" customHeight="1" ht="35" hidden="true" outlineLevel="4">
      <c r="A6808" s="5" t="s">
        <v>12859</v>
      </c>
      <c r="B6808" s="5"/>
      <c r="C6808" s="5"/>
      <c r="D6808" s="5"/>
      <c r="E6808" s="5"/>
      <c r="F6808" s="5"/>
      <c r="G6808" s="5"/>
    </row>
    <row r="6809" spans="1:26" customHeight="1" ht="36" hidden="true" outlineLevel="4">
      <c r="A6809" s="2" t="s">
        <v>12860</v>
      </c>
      <c r="B6809" s="3" t="s">
        <v>12861</v>
      </c>
      <c r="C6809" s="2"/>
      <c r="D6809" s="2" t="s">
        <v>16</v>
      </c>
      <c r="E6809" s="4">
        <f>25.18*(1-Z1%)</f>
        <v>25.18</v>
      </c>
      <c r="F6809" s="2">
        <v>1</v>
      </c>
      <c r="G6809" s="2"/>
    </row>
    <row r="6810" spans="1:26" customHeight="1" ht="36" hidden="true" outlineLevel="4">
      <c r="A6810" s="2" t="s">
        <v>12862</v>
      </c>
      <c r="B6810" s="3" t="s">
        <v>12863</v>
      </c>
      <c r="C6810" s="2"/>
      <c r="D6810" s="2" t="s">
        <v>16</v>
      </c>
      <c r="E6810" s="4">
        <f>22.13*(1-Z1%)</f>
        <v>22.13</v>
      </c>
      <c r="F6810" s="2">
        <v>3</v>
      </c>
      <c r="G6810" s="2"/>
    </row>
    <row r="6811" spans="1:26" customHeight="1" ht="36" hidden="true" outlineLevel="4">
      <c r="A6811" s="2" t="s">
        <v>12864</v>
      </c>
      <c r="B6811" s="3" t="s">
        <v>12865</v>
      </c>
      <c r="C6811" s="2"/>
      <c r="D6811" s="2" t="s">
        <v>16</v>
      </c>
      <c r="E6811" s="4">
        <f>25.24*(1-Z1%)</f>
        <v>25.24</v>
      </c>
      <c r="F6811" s="2">
        <v>2</v>
      </c>
      <c r="G6811" s="2"/>
    </row>
    <row r="6812" spans="1:26" customHeight="1" ht="36" hidden="true" outlineLevel="4">
      <c r="A6812" s="2" t="s">
        <v>12866</v>
      </c>
      <c r="B6812" s="3" t="s">
        <v>12867</v>
      </c>
      <c r="C6812" s="2"/>
      <c r="D6812" s="2" t="s">
        <v>16</v>
      </c>
      <c r="E6812" s="4">
        <f>25.16*(1-Z1%)</f>
        <v>25.16</v>
      </c>
      <c r="F6812" s="2">
        <v>40</v>
      </c>
      <c r="G6812" s="2"/>
    </row>
    <row r="6813" spans="1:26" customHeight="1" ht="36" hidden="true" outlineLevel="4">
      <c r="A6813" s="2" t="s">
        <v>12868</v>
      </c>
      <c r="B6813" s="3" t="s">
        <v>12869</v>
      </c>
      <c r="C6813" s="2"/>
      <c r="D6813" s="2" t="s">
        <v>16</v>
      </c>
      <c r="E6813" s="4">
        <f>24.22*(1-Z1%)</f>
        <v>24.22</v>
      </c>
      <c r="F6813" s="2">
        <v>6</v>
      </c>
      <c r="G6813" s="2"/>
    </row>
    <row r="6814" spans="1:26" customHeight="1" ht="36" hidden="true" outlineLevel="4">
      <c r="A6814" s="2" t="s">
        <v>12870</v>
      </c>
      <c r="B6814" s="3" t="s">
        <v>12871</v>
      </c>
      <c r="C6814" s="2"/>
      <c r="D6814" s="2" t="s">
        <v>16</v>
      </c>
      <c r="E6814" s="4">
        <f>28.78*(1-Z1%)</f>
        <v>28.78</v>
      </c>
      <c r="F6814" s="2">
        <v>1</v>
      </c>
      <c r="G6814" s="2"/>
    </row>
    <row r="6815" spans="1:26" customHeight="1" ht="35" hidden="true" outlineLevel="2">
      <c r="A6815" s="5" t="s">
        <v>12872</v>
      </c>
      <c r="B6815" s="5"/>
      <c r="C6815" s="5"/>
      <c r="D6815" s="5"/>
      <c r="E6815" s="5"/>
      <c r="F6815" s="5"/>
      <c r="G6815" s="5"/>
    </row>
    <row r="6816" spans="1:26" customHeight="1" ht="18" hidden="true" outlineLevel="2">
      <c r="A6816" s="2" t="s">
        <v>12873</v>
      </c>
      <c r="B6816" s="3" t="s">
        <v>12874</v>
      </c>
      <c r="C6816" s="2"/>
      <c r="D6816" s="2" t="s">
        <v>16</v>
      </c>
      <c r="E6816" s="4">
        <f>194.37*(1-Z1%)</f>
        <v>194.37</v>
      </c>
      <c r="F6816" s="2">
        <v>6</v>
      </c>
      <c r="G6816" s="2"/>
    </row>
    <row r="6817" spans="1:26" customHeight="1" ht="18" hidden="true" outlineLevel="2">
      <c r="A6817" s="2" t="s">
        <v>12875</v>
      </c>
      <c r="B6817" s="3" t="s">
        <v>12876</v>
      </c>
      <c r="C6817" s="2"/>
      <c r="D6817" s="2" t="s">
        <v>16</v>
      </c>
      <c r="E6817" s="4">
        <f>102.11*(1-Z1%)</f>
        <v>102.11</v>
      </c>
      <c r="F6817" s="2">
        <v>4</v>
      </c>
      <c r="G6817" s="2"/>
    </row>
    <row r="6818" spans="1:26" customHeight="1" ht="18" hidden="true" outlineLevel="2">
      <c r="A6818" s="2" t="s">
        <v>12877</v>
      </c>
      <c r="B6818" s="3" t="s">
        <v>12878</v>
      </c>
      <c r="C6818" s="2"/>
      <c r="D6818" s="2" t="s">
        <v>16</v>
      </c>
      <c r="E6818" s="4">
        <f>128.33*(1-Z1%)</f>
        <v>128.33</v>
      </c>
      <c r="F6818" s="2">
        <v>4</v>
      </c>
      <c r="G6818" s="2"/>
    </row>
    <row r="6819" spans="1:26" customHeight="1" ht="18" hidden="true" outlineLevel="2">
      <c r="A6819" s="2" t="s">
        <v>12879</v>
      </c>
      <c r="B6819" s="3" t="s">
        <v>12880</v>
      </c>
      <c r="C6819" s="2"/>
      <c r="D6819" s="2" t="s">
        <v>16</v>
      </c>
      <c r="E6819" s="4">
        <f>99.68*(1-Z1%)</f>
        <v>99.68</v>
      </c>
      <c r="F6819" s="2">
        <v>3</v>
      </c>
      <c r="G6819" s="2"/>
    </row>
    <row r="6820" spans="1:26" customHeight="1" ht="18" hidden="true" outlineLevel="2">
      <c r="A6820" s="2" t="s">
        <v>12881</v>
      </c>
      <c r="B6820" s="3" t="s">
        <v>12882</v>
      </c>
      <c r="C6820" s="2"/>
      <c r="D6820" s="2" t="s">
        <v>16</v>
      </c>
      <c r="E6820" s="4">
        <f>204.47*(1-Z1%)</f>
        <v>204.47</v>
      </c>
      <c r="F6820" s="2">
        <v>4</v>
      </c>
      <c r="G6820" s="2"/>
    </row>
    <row r="6821" spans="1:26" customHeight="1" ht="18" hidden="true" outlineLevel="2">
      <c r="A6821" s="2" t="s">
        <v>12883</v>
      </c>
      <c r="B6821" s="3" t="s">
        <v>12884</v>
      </c>
      <c r="C6821" s="2"/>
      <c r="D6821" s="2" t="s">
        <v>16</v>
      </c>
      <c r="E6821" s="4">
        <f>18.41*(1-Z1%)</f>
        <v>18.41</v>
      </c>
      <c r="F6821" s="2">
        <v>5</v>
      </c>
      <c r="G6821" s="2"/>
    </row>
    <row r="6822" spans="1:26" customHeight="1" ht="18" hidden="true" outlineLevel="2">
      <c r="A6822" s="2" t="s">
        <v>12885</v>
      </c>
      <c r="B6822" s="3" t="s">
        <v>12886</v>
      </c>
      <c r="C6822" s="2"/>
      <c r="D6822" s="2" t="s">
        <v>16</v>
      </c>
      <c r="E6822" s="4">
        <f>64.51*(1-Z1%)</f>
        <v>64.51</v>
      </c>
      <c r="F6822" s="2">
        <v>4</v>
      </c>
      <c r="G6822" s="2"/>
    </row>
    <row r="6823" spans="1:26" customHeight="1" ht="18" hidden="true" outlineLevel="2">
      <c r="A6823" s="2" t="s">
        <v>12887</v>
      </c>
      <c r="B6823" s="3" t="s">
        <v>12888</v>
      </c>
      <c r="C6823" s="2"/>
      <c r="D6823" s="2" t="s">
        <v>16</v>
      </c>
      <c r="E6823" s="4">
        <f>49.01*(1-Z1%)</f>
        <v>49.01</v>
      </c>
      <c r="F6823" s="2">
        <v>3</v>
      </c>
      <c r="G6823" s="2"/>
    </row>
    <row r="6824" spans="1:26" customHeight="1" ht="18" hidden="true" outlineLevel="2">
      <c r="A6824" s="2" t="s">
        <v>12889</v>
      </c>
      <c r="B6824" s="3" t="s">
        <v>12890</v>
      </c>
      <c r="C6824" s="2"/>
      <c r="D6824" s="2" t="s">
        <v>16</v>
      </c>
      <c r="E6824" s="4">
        <f>96.19*(1-Z1%)</f>
        <v>96.19</v>
      </c>
      <c r="F6824" s="2">
        <v>2</v>
      </c>
      <c r="G6824" s="2"/>
    </row>
    <row r="6825" spans="1:26" customHeight="1" ht="18" hidden="true" outlineLevel="2">
      <c r="A6825" s="2" t="s">
        <v>12891</v>
      </c>
      <c r="B6825" s="3" t="s">
        <v>12892</v>
      </c>
      <c r="C6825" s="2"/>
      <c r="D6825" s="2" t="s">
        <v>16</v>
      </c>
      <c r="E6825" s="4">
        <f>60.61*(1-Z1%)</f>
        <v>60.61</v>
      </c>
      <c r="F6825" s="2">
        <v>15</v>
      </c>
      <c r="G6825" s="2"/>
    </row>
    <row r="6826" spans="1:26" customHeight="1" ht="36" hidden="true" outlineLevel="2">
      <c r="A6826" s="2" t="s">
        <v>12893</v>
      </c>
      <c r="B6826" s="3" t="s">
        <v>12894</v>
      </c>
      <c r="C6826" s="2"/>
      <c r="D6826" s="2" t="s">
        <v>16</v>
      </c>
      <c r="E6826" s="4">
        <f>11.82*(1-Z1%)</f>
        <v>11.82</v>
      </c>
      <c r="F6826" s="2">
        <v>2</v>
      </c>
      <c r="G6826" s="2"/>
    </row>
    <row r="6827" spans="1:26" customHeight="1" ht="36" hidden="true" outlineLevel="2">
      <c r="A6827" s="2" t="s">
        <v>12895</v>
      </c>
      <c r="B6827" s="3" t="s">
        <v>12896</v>
      </c>
      <c r="C6827" s="2"/>
      <c r="D6827" s="2" t="s">
        <v>16</v>
      </c>
      <c r="E6827" s="4">
        <f>12.34*(1-Z1%)</f>
        <v>12.34</v>
      </c>
      <c r="F6827" s="2">
        <v>3</v>
      </c>
      <c r="G6827" s="2"/>
    </row>
    <row r="6828" spans="1:26" customHeight="1" ht="18" hidden="true" outlineLevel="2">
      <c r="A6828" s="2" t="s">
        <v>12897</v>
      </c>
      <c r="B6828" s="3" t="s">
        <v>12898</v>
      </c>
      <c r="C6828" s="2"/>
      <c r="D6828" s="2" t="s">
        <v>16</v>
      </c>
      <c r="E6828" s="4">
        <f>11.22*(1-Z1%)</f>
        <v>11.22</v>
      </c>
      <c r="F6828" s="2">
        <v>3</v>
      </c>
      <c r="G6828" s="2"/>
    </row>
    <row r="6829" spans="1:26" customHeight="1" ht="35" hidden="true" outlineLevel="2">
      <c r="A6829" s="5" t="s">
        <v>12899</v>
      </c>
      <c r="B6829" s="5"/>
      <c r="C6829" s="5"/>
      <c r="D6829" s="5"/>
      <c r="E6829" s="5"/>
      <c r="F6829" s="5"/>
      <c r="G6829" s="5"/>
    </row>
    <row r="6830" spans="1:26" customHeight="1" ht="35" hidden="true" outlineLevel="3">
      <c r="A6830" s="5" t="s">
        <v>12900</v>
      </c>
      <c r="B6830" s="5"/>
      <c r="C6830" s="5"/>
      <c r="D6830" s="5"/>
      <c r="E6830" s="5"/>
      <c r="F6830" s="5"/>
      <c r="G6830" s="5"/>
    </row>
    <row r="6831" spans="1:26" customHeight="1" ht="35" hidden="true" outlineLevel="4">
      <c r="A6831" s="5" t="s">
        <v>12901</v>
      </c>
      <c r="B6831" s="5"/>
      <c r="C6831" s="5"/>
      <c r="D6831" s="5"/>
      <c r="E6831" s="5"/>
      <c r="F6831" s="5"/>
      <c r="G6831" s="5"/>
    </row>
    <row r="6832" spans="1:26" customHeight="1" ht="36" hidden="true" outlineLevel="4">
      <c r="A6832" s="2" t="s">
        <v>12902</v>
      </c>
      <c r="B6832" s="3" t="s">
        <v>12903</v>
      </c>
      <c r="C6832" s="2"/>
      <c r="D6832" s="2" t="s">
        <v>16</v>
      </c>
      <c r="E6832" s="4">
        <f>53.46*(1-Z1%)</f>
        <v>53.46</v>
      </c>
      <c r="F6832" s="2">
        <v>10</v>
      </c>
      <c r="G6832" s="2"/>
    </row>
    <row r="6833" spans="1:26" customHeight="1" ht="36" hidden="true" outlineLevel="4">
      <c r="A6833" s="2" t="s">
        <v>12904</v>
      </c>
      <c r="B6833" s="3" t="s">
        <v>12905</v>
      </c>
      <c r="C6833" s="2"/>
      <c r="D6833" s="2" t="s">
        <v>16</v>
      </c>
      <c r="E6833" s="4">
        <f>22.77*(1-Z1%)</f>
        <v>22.77</v>
      </c>
      <c r="F6833" s="2">
        <v>20</v>
      </c>
      <c r="G6833" s="2"/>
    </row>
    <row r="6834" spans="1:26" customHeight="1" ht="18" hidden="true" outlineLevel="4">
      <c r="A6834" s="2" t="s">
        <v>12906</v>
      </c>
      <c r="B6834" s="3" t="s">
        <v>12907</v>
      </c>
      <c r="C6834" s="2"/>
      <c r="D6834" s="2" t="s">
        <v>16</v>
      </c>
      <c r="E6834" s="4">
        <f>6.38*(1-Z1%)</f>
        <v>6.38</v>
      </c>
      <c r="F6834" s="2">
        <v>8</v>
      </c>
      <c r="G6834" s="2"/>
    </row>
    <row r="6835" spans="1:26" customHeight="1" ht="36" hidden="true" outlineLevel="4">
      <c r="A6835" s="2" t="s">
        <v>12908</v>
      </c>
      <c r="B6835" s="3" t="s">
        <v>12909</v>
      </c>
      <c r="C6835" s="2"/>
      <c r="D6835" s="2" t="s">
        <v>16</v>
      </c>
      <c r="E6835" s="4">
        <f>13.99*(1-Z1%)</f>
        <v>13.99</v>
      </c>
      <c r="F6835" s="2">
        <v>72</v>
      </c>
      <c r="G6835" s="2"/>
    </row>
    <row r="6836" spans="1:26" customHeight="1" ht="36" hidden="true" outlineLevel="4">
      <c r="A6836" s="2" t="s">
        <v>12910</v>
      </c>
      <c r="B6836" s="3" t="s">
        <v>12911</v>
      </c>
      <c r="C6836" s="2"/>
      <c r="D6836" s="2" t="s">
        <v>16</v>
      </c>
      <c r="E6836" s="4">
        <f>8.05*(1-Z1%)</f>
        <v>8.05</v>
      </c>
      <c r="F6836" s="2">
        <v>52</v>
      </c>
      <c r="G6836" s="2"/>
    </row>
    <row r="6837" spans="1:26" customHeight="1" ht="36" hidden="true" outlineLevel="4">
      <c r="A6837" s="2" t="s">
        <v>12912</v>
      </c>
      <c r="B6837" s="3" t="s">
        <v>12913</v>
      </c>
      <c r="C6837" s="2"/>
      <c r="D6837" s="2" t="s">
        <v>16</v>
      </c>
      <c r="E6837" s="4">
        <f>18.20*(1-Z1%)</f>
        <v>18.2</v>
      </c>
      <c r="F6837" s="2">
        <v>86</v>
      </c>
      <c r="G6837" s="2"/>
    </row>
    <row r="6838" spans="1:26" customHeight="1" ht="18" hidden="true" outlineLevel="4">
      <c r="A6838" s="2" t="s">
        <v>12914</v>
      </c>
      <c r="B6838" s="3" t="s">
        <v>12915</v>
      </c>
      <c r="C6838" s="2"/>
      <c r="D6838" s="2" t="s">
        <v>16</v>
      </c>
      <c r="E6838" s="4">
        <f>7.79*(1-Z1%)</f>
        <v>7.79</v>
      </c>
      <c r="F6838" s="2">
        <v>30</v>
      </c>
      <c r="G6838" s="2"/>
    </row>
    <row r="6839" spans="1:26" customHeight="1" ht="18" hidden="true" outlineLevel="4">
      <c r="A6839" s="2" t="s">
        <v>12916</v>
      </c>
      <c r="B6839" s="3" t="s">
        <v>12917</v>
      </c>
      <c r="C6839" s="2"/>
      <c r="D6839" s="2" t="s">
        <v>16</v>
      </c>
      <c r="E6839" s="4">
        <f>7.79*(1-Z1%)</f>
        <v>7.79</v>
      </c>
      <c r="F6839" s="2">
        <v>30</v>
      </c>
      <c r="G6839" s="2"/>
    </row>
    <row r="6840" spans="1:26" customHeight="1" ht="18" hidden="true" outlineLevel="4">
      <c r="A6840" s="2" t="s">
        <v>12918</v>
      </c>
      <c r="B6840" s="3" t="s">
        <v>12919</v>
      </c>
      <c r="C6840" s="2"/>
      <c r="D6840" s="2" t="s">
        <v>16</v>
      </c>
      <c r="E6840" s="4">
        <f>8.27*(1-Z1%)</f>
        <v>8.27</v>
      </c>
      <c r="F6840" s="2">
        <v>39</v>
      </c>
      <c r="G6840" s="2"/>
    </row>
    <row r="6841" spans="1:26" customHeight="1" ht="18" hidden="true" outlineLevel="4">
      <c r="A6841" s="2" t="s">
        <v>12920</v>
      </c>
      <c r="B6841" s="3" t="s">
        <v>12921</v>
      </c>
      <c r="C6841" s="2"/>
      <c r="D6841" s="2" t="s">
        <v>16</v>
      </c>
      <c r="E6841" s="4">
        <f>8.27*(1-Z1%)</f>
        <v>8.27</v>
      </c>
      <c r="F6841" s="2">
        <v>30</v>
      </c>
      <c r="G6841" s="2"/>
    </row>
    <row r="6842" spans="1:26" customHeight="1" ht="36" hidden="true" outlineLevel="4">
      <c r="A6842" s="2" t="s">
        <v>12922</v>
      </c>
      <c r="B6842" s="3" t="s">
        <v>12923</v>
      </c>
      <c r="C6842" s="2"/>
      <c r="D6842" s="2" t="s">
        <v>16</v>
      </c>
      <c r="E6842" s="4">
        <f>6.19*(1-Z1%)</f>
        <v>6.19</v>
      </c>
      <c r="F6842" s="2">
        <v>138</v>
      </c>
      <c r="G6842" s="2"/>
    </row>
    <row r="6843" spans="1:26" customHeight="1" ht="18" hidden="true" outlineLevel="4">
      <c r="A6843" s="2" t="s">
        <v>12924</v>
      </c>
      <c r="B6843" s="3" t="s">
        <v>12925</v>
      </c>
      <c r="C6843" s="2"/>
      <c r="D6843" s="2" t="s">
        <v>16</v>
      </c>
      <c r="E6843" s="4">
        <f>19.85*(1-Z1%)</f>
        <v>19.85</v>
      </c>
      <c r="F6843" s="2">
        <v>10</v>
      </c>
      <c r="G6843" s="2"/>
    </row>
    <row r="6844" spans="1:26" customHeight="1" ht="18" hidden="true" outlineLevel="4">
      <c r="A6844" s="2" t="s">
        <v>12926</v>
      </c>
      <c r="B6844" s="3" t="s">
        <v>12927</v>
      </c>
      <c r="C6844" s="2"/>
      <c r="D6844" s="2" t="s">
        <v>16</v>
      </c>
      <c r="E6844" s="4">
        <f>19.85*(1-Z1%)</f>
        <v>19.85</v>
      </c>
      <c r="F6844" s="2">
        <v>10</v>
      </c>
      <c r="G6844" s="2"/>
    </row>
    <row r="6845" spans="1:26" customHeight="1" ht="18" hidden="true" outlineLevel="4">
      <c r="A6845" s="2" t="s">
        <v>12928</v>
      </c>
      <c r="B6845" s="3" t="s">
        <v>12929</v>
      </c>
      <c r="C6845" s="2"/>
      <c r="D6845" s="2" t="s">
        <v>16</v>
      </c>
      <c r="E6845" s="4">
        <f>22.57*(1-Z1%)</f>
        <v>22.57</v>
      </c>
      <c r="F6845" s="2">
        <v>35</v>
      </c>
      <c r="G6845" s="2"/>
    </row>
    <row r="6846" spans="1:26" customHeight="1" ht="18" hidden="true" outlineLevel="4">
      <c r="A6846" s="2" t="s">
        <v>12930</v>
      </c>
      <c r="B6846" s="3" t="s">
        <v>12931</v>
      </c>
      <c r="C6846" s="2"/>
      <c r="D6846" s="2" t="s">
        <v>16</v>
      </c>
      <c r="E6846" s="4">
        <f>12.16*(1-Z1%)</f>
        <v>12.16</v>
      </c>
      <c r="F6846" s="2">
        <v>3</v>
      </c>
      <c r="G6846" s="2"/>
    </row>
    <row r="6847" spans="1:26" customHeight="1" ht="36" hidden="true" outlineLevel="4">
      <c r="A6847" s="2" t="s">
        <v>12932</v>
      </c>
      <c r="B6847" s="3" t="s">
        <v>12933</v>
      </c>
      <c r="C6847" s="2"/>
      <c r="D6847" s="2" t="s">
        <v>16</v>
      </c>
      <c r="E6847" s="4">
        <f>13.25*(1-Z1%)</f>
        <v>13.25</v>
      </c>
      <c r="F6847" s="2">
        <v>22</v>
      </c>
      <c r="G6847" s="2"/>
    </row>
    <row r="6848" spans="1:26" customHeight="1" ht="18" hidden="true" outlineLevel="4">
      <c r="A6848" s="2" t="s">
        <v>12934</v>
      </c>
      <c r="B6848" s="3" t="s">
        <v>12935</v>
      </c>
      <c r="C6848" s="2"/>
      <c r="D6848" s="2" t="s">
        <v>16</v>
      </c>
      <c r="E6848" s="4">
        <f>29.01*(1-Z1%)</f>
        <v>29.01</v>
      </c>
      <c r="F6848" s="2">
        <v>35</v>
      </c>
      <c r="G6848" s="2"/>
    </row>
    <row r="6849" spans="1:26" customHeight="1" ht="18" hidden="true" outlineLevel="4">
      <c r="A6849" s="2" t="s">
        <v>12936</v>
      </c>
      <c r="B6849" s="3" t="s">
        <v>12937</v>
      </c>
      <c r="C6849" s="2"/>
      <c r="D6849" s="2" t="s">
        <v>16</v>
      </c>
      <c r="E6849" s="4">
        <f>33.08*(1-Z1%)</f>
        <v>33.08</v>
      </c>
      <c r="F6849" s="2">
        <v>4</v>
      </c>
      <c r="G6849" s="2"/>
    </row>
    <row r="6850" spans="1:26" customHeight="1" ht="36" hidden="true" outlineLevel="4">
      <c r="A6850" s="2" t="s">
        <v>12938</v>
      </c>
      <c r="B6850" s="3" t="s">
        <v>12939</v>
      </c>
      <c r="C6850" s="2"/>
      <c r="D6850" s="2" t="s">
        <v>16</v>
      </c>
      <c r="E6850" s="4">
        <f>24.51*(1-Z1%)</f>
        <v>24.51</v>
      </c>
      <c r="F6850" s="2">
        <v>40</v>
      </c>
      <c r="G6850" s="2"/>
    </row>
    <row r="6851" spans="1:26" customHeight="1" ht="36" hidden="true" outlineLevel="4">
      <c r="A6851" s="2" t="s">
        <v>12940</v>
      </c>
      <c r="B6851" s="3" t="s">
        <v>12941</v>
      </c>
      <c r="C6851" s="2"/>
      <c r="D6851" s="2" t="s">
        <v>16</v>
      </c>
      <c r="E6851" s="4">
        <f>50.37*(1-Z1%)</f>
        <v>50.37</v>
      </c>
      <c r="F6851" s="2">
        <v>8</v>
      </c>
      <c r="G6851" s="2"/>
    </row>
    <row r="6852" spans="1:26" customHeight="1" ht="36" hidden="true" outlineLevel="4">
      <c r="A6852" s="2" t="s">
        <v>12942</v>
      </c>
      <c r="B6852" s="3" t="s">
        <v>12943</v>
      </c>
      <c r="C6852" s="2"/>
      <c r="D6852" s="2" t="s">
        <v>16</v>
      </c>
      <c r="E6852" s="4">
        <f>125.24*(1-Z1%)</f>
        <v>125.24</v>
      </c>
      <c r="F6852" s="2">
        <v>12</v>
      </c>
      <c r="G6852" s="2"/>
    </row>
    <row r="6853" spans="1:26" customHeight="1" ht="35" hidden="true" outlineLevel="4">
      <c r="A6853" s="5" t="s">
        <v>12944</v>
      </c>
      <c r="B6853" s="5"/>
      <c r="C6853" s="5"/>
      <c r="D6853" s="5"/>
      <c r="E6853" s="5"/>
      <c r="F6853" s="5"/>
      <c r="G6853" s="5"/>
    </row>
    <row r="6854" spans="1:26" customHeight="1" ht="36" hidden="true" outlineLevel="4">
      <c r="A6854" s="2" t="s">
        <v>12945</v>
      </c>
      <c r="B6854" s="3" t="s">
        <v>12946</v>
      </c>
      <c r="C6854" s="2"/>
      <c r="D6854" s="2" t="s">
        <v>16</v>
      </c>
      <c r="E6854" s="4">
        <f>2.73*(1-Z1%)</f>
        <v>2.73</v>
      </c>
      <c r="F6854" s="2">
        <v>29</v>
      </c>
      <c r="G6854" s="2"/>
    </row>
    <row r="6855" spans="1:26" customHeight="1" ht="36" hidden="true" outlineLevel="4">
      <c r="A6855" s="2" t="s">
        <v>12947</v>
      </c>
      <c r="B6855" s="3" t="s">
        <v>12948</v>
      </c>
      <c r="C6855" s="2"/>
      <c r="D6855" s="2" t="s">
        <v>16</v>
      </c>
      <c r="E6855" s="4">
        <f>2.73*(1-Z1%)</f>
        <v>2.73</v>
      </c>
      <c r="F6855" s="2">
        <v>28</v>
      </c>
      <c r="G6855" s="2"/>
    </row>
    <row r="6856" spans="1:26" customHeight="1" ht="18" hidden="true" outlineLevel="4">
      <c r="A6856" s="2" t="s">
        <v>12949</v>
      </c>
      <c r="B6856" s="3" t="s">
        <v>12950</v>
      </c>
      <c r="C6856" s="2"/>
      <c r="D6856" s="2" t="s">
        <v>16</v>
      </c>
      <c r="E6856" s="4">
        <f>3.66*(1-Z1%)</f>
        <v>3.66</v>
      </c>
      <c r="F6856" s="2">
        <v>8</v>
      </c>
      <c r="G6856" s="2"/>
    </row>
    <row r="6857" spans="1:26" customHeight="1" ht="18" hidden="true" outlineLevel="4">
      <c r="A6857" s="2" t="s">
        <v>12951</v>
      </c>
      <c r="B6857" s="3" t="s">
        <v>12952</v>
      </c>
      <c r="C6857" s="2"/>
      <c r="D6857" s="2" t="s">
        <v>16</v>
      </c>
      <c r="E6857" s="4">
        <f>4.01*(1-Z1%)</f>
        <v>4.01</v>
      </c>
      <c r="F6857" s="2">
        <v>30</v>
      </c>
      <c r="G6857" s="2"/>
    </row>
    <row r="6858" spans="1:26" customHeight="1" ht="18" hidden="true" outlineLevel="4">
      <c r="A6858" s="2" t="s">
        <v>12953</v>
      </c>
      <c r="B6858" s="3" t="s">
        <v>12954</v>
      </c>
      <c r="C6858" s="2"/>
      <c r="D6858" s="2" t="s">
        <v>16</v>
      </c>
      <c r="E6858" s="4">
        <f>4.01*(1-Z1%)</f>
        <v>4.01</v>
      </c>
      <c r="F6858" s="2">
        <v>31</v>
      </c>
      <c r="G6858" s="2"/>
    </row>
    <row r="6859" spans="1:26" customHeight="1" ht="36" hidden="true" outlineLevel="4">
      <c r="A6859" s="2" t="s">
        <v>12955</v>
      </c>
      <c r="B6859" s="3" t="s">
        <v>12956</v>
      </c>
      <c r="C6859" s="2"/>
      <c r="D6859" s="2" t="s">
        <v>16</v>
      </c>
      <c r="E6859" s="4">
        <f>4.21*(1-Z1%)</f>
        <v>4.21</v>
      </c>
      <c r="F6859" s="2">
        <v>96</v>
      </c>
      <c r="G6859" s="2"/>
    </row>
    <row r="6860" spans="1:26" customHeight="1" ht="36" hidden="true" outlineLevel="4">
      <c r="A6860" s="2" t="s">
        <v>12957</v>
      </c>
      <c r="B6860" s="3" t="s">
        <v>12958</v>
      </c>
      <c r="C6860" s="2"/>
      <c r="D6860" s="2" t="s">
        <v>16</v>
      </c>
      <c r="E6860" s="4">
        <f>4.49*(1-Z1%)</f>
        <v>4.49</v>
      </c>
      <c r="F6860" s="2">
        <v>79</v>
      </c>
      <c r="G6860" s="2"/>
    </row>
    <row r="6861" spans="1:26" customHeight="1" ht="18" hidden="true" outlineLevel="4">
      <c r="A6861" s="2" t="s">
        <v>12959</v>
      </c>
      <c r="B6861" s="3" t="s">
        <v>12960</v>
      </c>
      <c r="C6861" s="2"/>
      <c r="D6861" s="2" t="s">
        <v>16</v>
      </c>
      <c r="E6861" s="4">
        <f>103.95*(1-Z1%)</f>
        <v>103.95</v>
      </c>
      <c r="F6861" s="2">
        <v>12</v>
      </c>
      <c r="G6861" s="2"/>
    </row>
    <row r="6862" spans="1:26" customHeight="1" ht="35" hidden="true" outlineLevel="3">
      <c r="A6862" s="5" t="s">
        <v>12961</v>
      </c>
      <c r="B6862" s="5"/>
      <c r="C6862" s="5"/>
      <c r="D6862" s="5"/>
      <c r="E6862" s="5"/>
      <c r="F6862" s="5"/>
      <c r="G6862" s="5"/>
    </row>
    <row r="6863" spans="1:26" customHeight="1" ht="36" hidden="true" outlineLevel="3">
      <c r="A6863" s="2" t="s">
        <v>12962</v>
      </c>
      <c r="B6863" s="3" t="s">
        <v>12963</v>
      </c>
      <c r="C6863" s="2"/>
      <c r="D6863" s="2" t="s">
        <v>16</v>
      </c>
      <c r="E6863" s="4">
        <f>173.25*(1-Z1%)</f>
        <v>173.25</v>
      </c>
      <c r="F6863" s="2">
        <v>7</v>
      </c>
      <c r="G6863" s="2"/>
    </row>
    <row r="6864" spans="1:26" customHeight="1" ht="36" hidden="true" outlineLevel="3">
      <c r="A6864" s="2" t="s">
        <v>12964</v>
      </c>
      <c r="B6864" s="3" t="s">
        <v>12965</v>
      </c>
      <c r="C6864" s="2"/>
      <c r="D6864" s="2" t="s">
        <v>16</v>
      </c>
      <c r="E6864" s="4">
        <f>173.25*(1-Z1%)</f>
        <v>173.25</v>
      </c>
      <c r="F6864" s="2">
        <v>2</v>
      </c>
      <c r="G6864" s="2"/>
    </row>
    <row r="6865" spans="1:26" customHeight="1" ht="36" hidden="true" outlineLevel="3">
      <c r="A6865" s="2" t="s">
        <v>12966</v>
      </c>
      <c r="B6865" s="3" t="s">
        <v>12967</v>
      </c>
      <c r="C6865" s="2"/>
      <c r="D6865" s="2" t="s">
        <v>16</v>
      </c>
      <c r="E6865" s="4">
        <f>160.88*(1-Z1%)</f>
        <v>160.88</v>
      </c>
      <c r="F6865" s="2">
        <v>2</v>
      </c>
      <c r="G6865" s="2"/>
    </row>
    <row r="6866" spans="1:26" customHeight="1" ht="18" hidden="true" outlineLevel="3">
      <c r="A6866" s="2" t="s">
        <v>12968</v>
      </c>
      <c r="B6866" s="3" t="s">
        <v>12969</v>
      </c>
      <c r="C6866" s="2"/>
      <c r="D6866" s="2" t="s">
        <v>16</v>
      </c>
      <c r="E6866" s="4">
        <f>12.45*(1-Z1%)</f>
        <v>12.45</v>
      </c>
      <c r="F6866" s="2">
        <v>10</v>
      </c>
      <c r="G6866" s="2"/>
    </row>
    <row r="6867" spans="1:26" customHeight="1" ht="36" hidden="true" outlineLevel="3">
      <c r="A6867" s="2" t="s">
        <v>12970</v>
      </c>
      <c r="B6867" s="3" t="s">
        <v>12971</v>
      </c>
      <c r="C6867" s="2"/>
      <c r="D6867" s="2" t="s">
        <v>16</v>
      </c>
      <c r="E6867" s="4">
        <f>30.94*(1-Z1%)</f>
        <v>30.94</v>
      </c>
      <c r="F6867" s="2">
        <v>4</v>
      </c>
      <c r="G6867" s="2"/>
    </row>
    <row r="6868" spans="1:26" customHeight="1" ht="18" hidden="true" outlineLevel="3">
      <c r="A6868" s="2" t="s">
        <v>12972</v>
      </c>
      <c r="B6868" s="3" t="s">
        <v>12973</v>
      </c>
      <c r="C6868" s="2"/>
      <c r="D6868" s="2" t="s">
        <v>16</v>
      </c>
      <c r="E6868" s="4">
        <f>16.40*(1-Z1%)</f>
        <v>16.4</v>
      </c>
      <c r="F6868" s="2">
        <v>3</v>
      </c>
      <c r="G6868" s="2"/>
    </row>
    <row r="6869" spans="1:26" customHeight="1" ht="18" hidden="true" outlineLevel="3">
      <c r="A6869" s="2" t="s">
        <v>12974</v>
      </c>
      <c r="B6869" s="3" t="s">
        <v>12975</v>
      </c>
      <c r="C6869" s="2"/>
      <c r="D6869" s="2" t="s">
        <v>16</v>
      </c>
      <c r="E6869" s="4">
        <f>23.97*(1-Z1%)</f>
        <v>23.97</v>
      </c>
      <c r="F6869" s="2">
        <v>11</v>
      </c>
      <c r="G6869" s="2"/>
    </row>
    <row r="6870" spans="1:26" customHeight="1" ht="18" hidden="true" outlineLevel="3">
      <c r="A6870" s="2" t="s">
        <v>12976</v>
      </c>
      <c r="B6870" s="3" t="s">
        <v>12977</v>
      </c>
      <c r="C6870" s="2"/>
      <c r="D6870" s="2" t="s">
        <v>16</v>
      </c>
      <c r="E6870" s="4">
        <f>49.73*(1-Z1%)</f>
        <v>49.73</v>
      </c>
      <c r="F6870" s="2">
        <v>11</v>
      </c>
      <c r="G6870" s="2"/>
    </row>
    <row r="6871" spans="1:26" customHeight="1" ht="18" hidden="true" outlineLevel="3">
      <c r="A6871" s="2" t="s">
        <v>12978</v>
      </c>
      <c r="B6871" s="3" t="s">
        <v>12979</v>
      </c>
      <c r="C6871" s="2"/>
      <c r="D6871" s="2" t="s">
        <v>16</v>
      </c>
      <c r="E6871" s="4">
        <f>210.38*(1-Z1%)</f>
        <v>210.38</v>
      </c>
      <c r="F6871" s="2">
        <v>15</v>
      </c>
      <c r="G6871" s="2"/>
    </row>
    <row r="6872" spans="1:26" customHeight="1" ht="18" hidden="true" outlineLevel="3">
      <c r="A6872" s="2" t="s">
        <v>12980</v>
      </c>
      <c r="B6872" s="3" t="s">
        <v>12981</v>
      </c>
      <c r="C6872" s="2"/>
      <c r="D6872" s="2" t="s">
        <v>16</v>
      </c>
      <c r="E6872" s="4">
        <f>14.85*(1-Z1%)</f>
        <v>14.85</v>
      </c>
      <c r="F6872" s="2">
        <v>41</v>
      </c>
      <c r="G6872" s="2"/>
    </row>
    <row r="6873" spans="1:26" customHeight="1" ht="18" hidden="true" outlineLevel="3">
      <c r="A6873" s="2" t="s">
        <v>12982</v>
      </c>
      <c r="B6873" s="3" t="s">
        <v>12983</v>
      </c>
      <c r="C6873" s="2"/>
      <c r="D6873" s="2" t="s">
        <v>16</v>
      </c>
      <c r="E6873" s="4">
        <f>24.75*(1-Z1%)</f>
        <v>24.75</v>
      </c>
      <c r="F6873" s="2">
        <v>41</v>
      </c>
      <c r="G6873" s="2"/>
    </row>
    <row r="6874" spans="1:26" customHeight="1" ht="36" hidden="true" outlineLevel="3">
      <c r="A6874" s="2" t="s">
        <v>12984</v>
      </c>
      <c r="B6874" s="3" t="s">
        <v>12985</v>
      </c>
      <c r="C6874" s="2"/>
      <c r="D6874" s="2" t="s">
        <v>16</v>
      </c>
      <c r="E6874" s="4">
        <f>123.75*(1-Z1%)</f>
        <v>123.75</v>
      </c>
      <c r="F6874" s="2">
        <v>10</v>
      </c>
      <c r="G6874" s="2"/>
    </row>
    <row r="6875" spans="1:26" customHeight="1" ht="36" hidden="true" outlineLevel="3">
      <c r="A6875" s="2" t="s">
        <v>12986</v>
      </c>
      <c r="B6875" s="3" t="s">
        <v>12987</v>
      </c>
      <c r="C6875" s="2"/>
      <c r="D6875" s="2" t="s">
        <v>16</v>
      </c>
      <c r="E6875" s="4">
        <f>86.63*(1-Z1%)</f>
        <v>86.63</v>
      </c>
      <c r="F6875" s="2">
        <v>10</v>
      </c>
      <c r="G6875" s="2"/>
    </row>
    <row r="6876" spans="1:26" customHeight="1" ht="36" hidden="true" outlineLevel="3">
      <c r="A6876" s="2" t="s">
        <v>12988</v>
      </c>
      <c r="B6876" s="3" t="s">
        <v>12989</v>
      </c>
      <c r="C6876" s="2"/>
      <c r="D6876" s="2" t="s">
        <v>16</v>
      </c>
      <c r="E6876" s="4">
        <f>160.88*(1-Z1%)</f>
        <v>160.88</v>
      </c>
      <c r="F6876" s="2">
        <v>2</v>
      </c>
      <c r="G6876" s="2"/>
    </row>
    <row r="6877" spans="1:26" customHeight="1" ht="36" hidden="true" outlineLevel="3">
      <c r="A6877" s="2" t="s">
        <v>12990</v>
      </c>
      <c r="B6877" s="3" t="s">
        <v>12991</v>
      </c>
      <c r="C6877" s="2"/>
      <c r="D6877" s="2" t="s">
        <v>16</v>
      </c>
      <c r="E6877" s="4">
        <f>34.79*(1-Z1%)</f>
        <v>34.79</v>
      </c>
      <c r="F6877" s="2">
        <v>10</v>
      </c>
      <c r="G6877" s="2"/>
    </row>
    <row r="6878" spans="1:26" customHeight="1" ht="36" hidden="true" outlineLevel="3">
      <c r="A6878" s="2" t="s">
        <v>12992</v>
      </c>
      <c r="B6878" s="3" t="s">
        <v>12993</v>
      </c>
      <c r="C6878" s="2"/>
      <c r="D6878" s="2" t="s">
        <v>16</v>
      </c>
      <c r="E6878" s="4">
        <f>16.83*(1-Z1%)</f>
        <v>16.83</v>
      </c>
      <c r="F6878" s="2">
        <v>6</v>
      </c>
      <c r="G6878" s="2"/>
    </row>
    <row r="6879" spans="1:26" customHeight="1" ht="36" hidden="true" outlineLevel="3">
      <c r="A6879" s="2" t="s">
        <v>12994</v>
      </c>
      <c r="B6879" s="3" t="s">
        <v>12995</v>
      </c>
      <c r="C6879" s="2"/>
      <c r="D6879" s="2" t="s">
        <v>16</v>
      </c>
      <c r="E6879" s="4">
        <f>29.63*(1-Z1%)</f>
        <v>29.63</v>
      </c>
      <c r="F6879" s="2">
        <v>18</v>
      </c>
      <c r="G6879" s="2"/>
    </row>
    <row r="6880" spans="1:26" customHeight="1" ht="35" hidden="true" outlineLevel="3">
      <c r="A6880" s="5" t="s">
        <v>12996</v>
      </c>
      <c r="B6880" s="5"/>
      <c r="C6880" s="5"/>
      <c r="D6880" s="5"/>
      <c r="E6880" s="5"/>
      <c r="F6880" s="5"/>
      <c r="G6880" s="5"/>
    </row>
    <row r="6881" spans="1:26" customHeight="1" ht="36" hidden="true" outlineLevel="3">
      <c r="A6881" s="2" t="s">
        <v>12997</v>
      </c>
      <c r="B6881" s="3" t="s">
        <v>12998</v>
      </c>
      <c r="C6881" s="2"/>
      <c r="D6881" s="2" t="s">
        <v>16</v>
      </c>
      <c r="E6881" s="4">
        <f>43.48*(1-Z1%)</f>
        <v>43.48</v>
      </c>
      <c r="F6881" s="2">
        <v>10</v>
      </c>
      <c r="G6881" s="2"/>
    </row>
    <row r="6882" spans="1:26" customHeight="1" ht="36" hidden="true" outlineLevel="3">
      <c r="A6882" s="2" t="s">
        <v>12999</v>
      </c>
      <c r="B6882" s="3" t="s">
        <v>13000</v>
      </c>
      <c r="C6882" s="2"/>
      <c r="D6882" s="2" t="s">
        <v>16</v>
      </c>
      <c r="E6882" s="4">
        <f>43.48*(1-Z1%)</f>
        <v>43.48</v>
      </c>
      <c r="F6882" s="2">
        <v>10</v>
      </c>
      <c r="G6882" s="2"/>
    </row>
    <row r="6883" spans="1:26" customHeight="1" ht="36" hidden="true" outlineLevel="3">
      <c r="A6883" s="2" t="s">
        <v>13001</v>
      </c>
      <c r="B6883" s="3" t="s">
        <v>13002</v>
      </c>
      <c r="C6883" s="2"/>
      <c r="D6883" s="2" t="s">
        <v>16</v>
      </c>
      <c r="E6883" s="4">
        <f>15.43*(1-Z1%)</f>
        <v>15.43</v>
      </c>
      <c r="F6883" s="2">
        <v>33</v>
      </c>
      <c r="G6883" s="2"/>
    </row>
    <row r="6884" spans="1:26" customHeight="1" ht="36" hidden="true" outlineLevel="3">
      <c r="A6884" s="2" t="s">
        <v>13003</v>
      </c>
      <c r="B6884" s="3" t="s">
        <v>13004</v>
      </c>
      <c r="C6884" s="2"/>
      <c r="D6884" s="2" t="s">
        <v>16</v>
      </c>
      <c r="E6884" s="4">
        <f>13.36*(1-Z1%)</f>
        <v>13.36</v>
      </c>
      <c r="F6884" s="2">
        <v>30</v>
      </c>
      <c r="G6884" s="2"/>
    </row>
    <row r="6885" spans="1:26" customHeight="1" ht="18" hidden="true" outlineLevel="3">
      <c r="A6885" s="2" t="s">
        <v>13005</v>
      </c>
      <c r="B6885" s="3" t="s">
        <v>13006</v>
      </c>
      <c r="C6885" s="2"/>
      <c r="D6885" s="2" t="s">
        <v>16</v>
      </c>
      <c r="E6885" s="4">
        <f>11.03*(1-Z1%)</f>
        <v>11.03</v>
      </c>
      <c r="F6885" s="2">
        <v>7</v>
      </c>
      <c r="G6885" s="2"/>
    </row>
    <row r="6886" spans="1:26" customHeight="1" ht="18" hidden="true" outlineLevel="3">
      <c r="A6886" s="2" t="s">
        <v>13007</v>
      </c>
      <c r="B6886" s="3" t="s">
        <v>13008</v>
      </c>
      <c r="C6886" s="2"/>
      <c r="D6886" s="2" t="s">
        <v>16</v>
      </c>
      <c r="E6886" s="4">
        <f>11.03*(1-Z1%)</f>
        <v>11.03</v>
      </c>
      <c r="F6886" s="2">
        <v>7</v>
      </c>
      <c r="G6886" s="2"/>
    </row>
    <row r="6887" spans="1:26" customHeight="1" ht="36" hidden="true" outlineLevel="3">
      <c r="A6887" s="2" t="s">
        <v>13009</v>
      </c>
      <c r="B6887" s="3" t="s">
        <v>13010</v>
      </c>
      <c r="C6887" s="2"/>
      <c r="D6887" s="2" t="s">
        <v>16</v>
      </c>
      <c r="E6887" s="4">
        <f>74.25*(1-Z1%)</f>
        <v>74.25</v>
      </c>
      <c r="F6887" s="2">
        <v>45</v>
      </c>
      <c r="G6887" s="2"/>
    </row>
    <row r="6888" spans="1:26" customHeight="1" ht="36" hidden="true" outlineLevel="3">
      <c r="A6888" s="2" t="s">
        <v>13011</v>
      </c>
      <c r="B6888" s="3" t="s">
        <v>13012</v>
      </c>
      <c r="C6888" s="2"/>
      <c r="D6888" s="2" t="s">
        <v>16</v>
      </c>
      <c r="E6888" s="4">
        <f>74.25*(1-Z1%)</f>
        <v>74.25</v>
      </c>
      <c r="F6888" s="2">
        <v>45</v>
      </c>
      <c r="G6888" s="2"/>
    </row>
    <row r="6889" spans="1:26" customHeight="1" ht="36" hidden="true" outlineLevel="3">
      <c r="A6889" s="2" t="s">
        <v>13013</v>
      </c>
      <c r="B6889" s="3" t="s">
        <v>13014</v>
      </c>
      <c r="C6889" s="2"/>
      <c r="D6889" s="2" t="s">
        <v>16</v>
      </c>
      <c r="E6889" s="4">
        <f>86.63*(1-Z1%)</f>
        <v>86.63</v>
      </c>
      <c r="F6889" s="2">
        <v>95</v>
      </c>
      <c r="G6889" s="2"/>
    </row>
    <row r="6890" spans="1:26" customHeight="1" ht="36" hidden="true" outlineLevel="3">
      <c r="A6890" s="2" t="s">
        <v>13015</v>
      </c>
      <c r="B6890" s="3" t="s">
        <v>13016</v>
      </c>
      <c r="C6890" s="2"/>
      <c r="D6890" s="2" t="s">
        <v>16</v>
      </c>
      <c r="E6890" s="4">
        <f>80.44*(1-Z1%)</f>
        <v>80.44</v>
      </c>
      <c r="F6890" s="2">
        <v>5</v>
      </c>
      <c r="G6890" s="2"/>
    </row>
    <row r="6891" spans="1:26" customHeight="1" ht="36" hidden="true" outlineLevel="3">
      <c r="A6891" s="2" t="s">
        <v>13017</v>
      </c>
      <c r="B6891" s="3" t="s">
        <v>13018</v>
      </c>
      <c r="C6891" s="2"/>
      <c r="D6891" s="2" t="s">
        <v>16</v>
      </c>
      <c r="E6891" s="4">
        <f>80.44*(1-Z1%)</f>
        <v>80.44</v>
      </c>
      <c r="F6891" s="2">
        <v>5</v>
      </c>
      <c r="G6891" s="2"/>
    </row>
    <row r="6892" spans="1:26" customHeight="1" ht="36" hidden="true" outlineLevel="3">
      <c r="A6892" s="2" t="s">
        <v>13019</v>
      </c>
      <c r="B6892" s="3" t="s">
        <v>13020</v>
      </c>
      <c r="C6892" s="2"/>
      <c r="D6892" s="2" t="s">
        <v>16</v>
      </c>
      <c r="E6892" s="4">
        <f>105.19*(1-Z1%)</f>
        <v>105.19</v>
      </c>
      <c r="F6892" s="2">
        <v>10</v>
      </c>
      <c r="G6892" s="2"/>
    </row>
    <row r="6893" spans="1:26" customHeight="1" ht="36" hidden="true" outlineLevel="3">
      <c r="A6893" s="2" t="s">
        <v>13021</v>
      </c>
      <c r="B6893" s="3" t="s">
        <v>13022</v>
      </c>
      <c r="C6893" s="2"/>
      <c r="D6893" s="2" t="s">
        <v>16</v>
      </c>
      <c r="E6893" s="4">
        <f>105.19*(1-Z1%)</f>
        <v>105.19</v>
      </c>
      <c r="F6893" s="2">
        <v>10</v>
      </c>
      <c r="G6893" s="2"/>
    </row>
    <row r="6894" spans="1:26" customHeight="1" ht="36" hidden="true" outlineLevel="3">
      <c r="A6894" s="2" t="s">
        <v>13023</v>
      </c>
      <c r="B6894" s="3" t="s">
        <v>13024</v>
      </c>
      <c r="C6894" s="2"/>
      <c r="D6894" s="2" t="s">
        <v>16</v>
      </c>
      <c r="E6894" s="4">
        <f>105.19*(1-Z1%)</f>
        <v>105.19</v>
      </c>
      <c r="F6894" s="2">
        <v>10</v>
      </c>
      <c r="G6894" s="2"/>
    </row>
    <row r="6895" spans="1:26" customHeight="1" ht="36" hidden="true" outlineLevel="3">
      <c r="A6895" s="2" t="s">
        <v>13025</v>
      </c>
      <c r="B6895" s="3" t="s">
        <v>13026</v>
      </c>
      <c r="C6895" s="2"/>
      <c r="D6895" s="2" t="s">
        <v>16</v>
      </c>
      <c r="E6895" s="4">
        <f>105.19*(1-Z1%)</f>
        <v>105.19</v>
      </c>
      <c r="F6895" s="2">
        <v>10</v>
      </c>
      <c r="G6895" s="2"/>
    </row>
    <row r="6896" spans="1:26" customHeight="1" ht="35" hidden="true" outlineLevel="3">
      <c r="A6896" s="5" t="s">
        <v>13027</v>
      </c>
      <c r="B6896" s="5"/>
      <c r="C6896" s="5"/>
      <c r="D6896" s="5"/>
      <c r="E6896" s="5"/>
      <c r="F6896" s="5"/>
      <c r="G6896" s="5"/>
    </row>
    <row r="6897" spans="1:26" customHeight="1" ht="18" hidden="true" outlineLevel="3">
      <c r="A6897" s="2" t="s">
        <v>13028</v>
      </c>
      <c r="B6897" s="3" t="s">
        <v>13029</v>
      </c>
      <c r="C6897" s="2"/>
      <c r="D6897" s="2" t="s">
        <v>16</v>
      </c>
      <c r="E6897" s="4">
        <f>39.52*(1-Z1%)</f>
        <v>39.52</v>
      </c>
      <c r="F6897" s="2">
        <v>5</v>
      </c>
      <c r="G6897" s="2"/>
    </row>
    <row r="6898" spans="1:26" customHeight="1" ht="18" hidden="true" outlineLevel="3">
      <c r="A6898" s="2" t="s">
        <v>13030</v>
      </c>
      <c r="B6898" s="3" t="s">
        <v>13031</v>
      </c>
      <c r="C6898" s="2"/>
      <c r="D6898" s="2" t="s">
        <v>16</v>
      </c>
      <c r="E6898" s="4">
        <f>39.52*(1-Z1%)</f>
        <v>39.52</v>
      </c>
      <c r="F6898" s="2">
        <v>5</v>
      </c>
      <c r="G6898" s="2"/>
    </row>
    <row r="6899" spans="1:26" customHeight="1" ht="18" hidden="true" outlineLevel="3">
      <c r="A6899" s="2" t="s">
        <v>13032</v>
      </c>
      <c r="B6899" s="3" t="s">
        <v>13033</v>
      </c>
      <c r="C6899" s="2"/>
      <c r="D6899" s="2" t="s">
        <v>16</v>
      </c>
      <c r="E6899" s="4">
        <f>109.35*(1-Z1%)</f>
        <v>109.35</v>
      </c>
      <c r="F6899" s="2">
        <v>5</v>
      </c>
      <c r="G6899" s="2"/>
    </row>
    <row r="6900" spans="1:26" customHeight="1" ht="18" hidden="true" outlineLevel="3">
      <c r="A6900" s="2" t="s">
        <v>13034</v>
      </c>
      <c r="B6900" s="3" t="s">
        <v>13035</v>
      </c>
      <c r="C6900" s="2"/>
      <c r="D6900" s="2" t="s">
        <v>16</v>
      </c>
      <c r="E6900" s="4">
        <f>39.96*(1-Z1%)</f>
        <v>39.96</v>
      </c>
      <c r="F6900" s="2">
        <v>8</v>
      </c>
      <c r="G6900" s="2"/>
    </row>
    <row r="6901" spans="1:26" customHeight="1" ht="18" hidden="true" outlineLevel="3">
      <c r="A6901" s="2" t="s">
        <v>13036</v>
      </c>
      <c r="B6901" s="3" t="s">
        <v>13037</v>
      </c>
      <c r="C6901" s="2"/>
      <c r="D6901" s="2" t="s">
        <v>16</v>
      </c>
      <c r="E6901" s="4">
        <f>39.96*(1-Z1%)</f>
        <v>39.96</v>
      </c>
      <c r="F6901" s="2">
        <v>8</v>
      </c>
      <c r="G6901" s="2"/>
    </row>
    <row r="6902" spans="1:26" customHeight="1" ht="18" hidden="true" outlineLevel="3">
      <c r="A6902" s="2" t="s">
        <v>13038</v>
      </c>
      <c r="B6902" s="3" t="s">
        <v>13039</v>
      </c>
      <c r="C6902" s="2"/>
      <c r="D6902" s="2" t="s">
        <v>16</v>
      </c>
      <c r="E6902" s="4">
        <f>43.32*(1-Z1%)</f>
        <v>43.32</v>
      </c>
      <c r="F6902" s="2">
        <v>10</v>
      </c>
      <c r="G6902" s="2"/>
    </row>
    <row r="6903" spans="1:26" customHeight="1" ht="18" hidden="true" outlineLevel="3">
      <c r="A6903" s="2" t="s">
        <v>13040</v>
      </c>
      <c r="B6903" s="3" t="s">
        <v>13041</v>
      </c>
      <c r="C6903" s="2"/>
      <c r="D6903" s="2" t="s">
        <v>16</v>
      </c>
      <c r="E6903" s="4">
        <f>43.32*(1-Z1%)</f>
        <v>43.32</v>
      </c>
      <c r="F6903" s="2">
        <v>10</v>
      </c>
      <c r="G6903" s="2"/>
    </row>
    <row r="6904" spans="1:26" customHeight="1" ht="18" hidden="true" outlineLevel="3">
      <c r="A6904" s="2" t="s">
        <v>13042</v>
      </c>
      <c r="B6904" s="3" t="s">
        <v>13043</v>
      </c>
      <c r="C6904" s="2"/>
      <c r="D6904" s="2" t="s">
        <v>16</v>
      </c>
      <c r="E6904" s="4">
        <f>43.32*(1-Z1%)</f>
        <v>43.32</v>
      </c>
      <c r="F6904" s="2">
        <v>13</v>
      </c>
      <c r="G6904" s="2"/>
    </row>
    <row r="6905" spans="1:26" customHeight="1" ht="18" hidden="true" outlineLevel="3">
      <c r="A6905" s="2" t="s">
        <v>13044</v>
      </c>
      <c r="B6905" s="3" t="s">
        <v>13045</v>
      </c>
      <c r="C6905" s="2"/>
      <c r="D6905" s="2" t="s">
        <v>16</v>
      </c>
      <c r="E6905" s="4">
        <f>43.32*(1-Z1%)</f>
        <v>43.32</v>
      </c>
      <c r="F6905" s="2">
        <v>13</v>
      </c>
      <c r="G6905" s="2"/>
    </row>
    <row r="6906" spans="1:26" customHeight="1" ht="18" hidden="true" outlineLevel="3">
      <c r="A6906" s="2" t="s">
        <v>13046</v>
      </c>
      <c r="B6906" s="3" t="s">
        <v>13047</v>
      </c>
      <c r="C6906" s="2"/>
      <c r="D6906" s="2" t="s">
        <v>16</v>
      </c>
      <c r="E6906" s="4">
        <f>206.28*(1-Z1%)</f>
        <v>206.28</v>
      </c>
      <c r="F6906" s="2">
        <v>5</v>
      </c>
      <c r="G6906" s="2"/>
    </row>
    <row r="6907" spans="1:26" customHeight="1" ht="18" hidden="true" outlineLevel="3">
      <c r="A6907" s="2" t="s">
        <v>13048</v>
      </c>
      <c r="B6907" s="3" t="s">
        <v>13049</v>
      </c>
      <c r="C6907" s="2"/>
      <c r="D6907" s="2" t="s">
        <v>16</v>
      </c>
      <c r="E6907" s="4">
        <f>146.70*(1-Z1%)</f>
        <v>146.7</v>
      </c>
      <c r="F6907" s="2">
        <v>4</v>
      </c>
      <c r="G6907" s="2"/>
    </row>
    <row r="6908" spans="1:26" customHeight="1" ht="18" hidden="true" outlineLevel="3">
      <c r="A6908" s="2" t="s">
        <v>13050</v>
      </c>
      <c r="B6908" s="3" t="s">
        <v>13051</v>
      </c>
      <c r="C6908" s="2"/>
      <c r="D6908" s="2" t="s">
        <v>16</v>
      </c>
      <c r="E6908" s="4">
        <f>205.23*(1-Z1%)</f>
        <v>205.23</v>
      </c>
      <c r="F6908" s="2">
        <v>5</v>
      </c>
      <c r="G6908" s="2"/>
    </row>
    <row r="6909" spans="1:26" customHeight="1" ht="18" hidden="true" outlineLevel="3">
      <c r="A6909" s="2" t="s">
        <v>13052</v>
      </c>
      <c r="B6909" s="3" t="s">
        <v>13053</v>
      </c>
      <c r="C6909" s="2"/>
      <c r="D6909" s="2" t="s">
        <v>16</v>
      </c>
      <c r="E6909" s="4">
        <f>153.33*(1-Z1%)</f>
        <v>153.33</v>
      </c>
      <c r="F6909" s="2">
        <v>5</v>
      </c>
      <c r="G6909" s="2"/>
    </row>
    <row r="6910" spans="1:26" customHeight="1" ht="35" hidden="true" outlineLevel="3">
      <c r="A6910" s="5" t="s">
        <v>13054</v>
      </c>
      <c r="B6910" s="5"/>
      <c r="C6910" s="5"/>
      <c r="D6910" s="5"/>
      <c r="E6910" s="5"/>
      <c r="F6910" s="5"/>
      <c r="G6910" s="5"/>
    </row>
    <row r="6911" spans="1:26" customHeight="1" ht="18" hidden="true" outlineLevel="3">
      <c r="A6911" s="2" t="s">
        <v>13055</v>
      </c>
      <c r="B6911" s="3" t="s">
        <v>13056</v>
      </c>
      <c r="C6911" s="2"/>
      <c r="D6911" s="2" t="s">
        <v>16</v>
      </c>
      <c r="E6911" s="4">
        <f>12.38*(1-Z1%)</f>
        <v>12.38</v>
      </c>
      <c r="F6911" s="2">
        <v>4</v>
      </c>
      <c r="G6911" s="2"/>
    </row>
    <row r="6912" spans="1:26" customHeight="1" ht="35" hidden="true" outlineLevel="3">
      <c r="A6912" s="5" t="s">
        <v>13057</v>
      </c>
      <c r="B6912" s="5"/>
      <c r="C6912" s="5"/>
      <c r="D6912" s="5"/>
      <c r="E6912" s="5"/>
      <c r="F6912" s="5"/>
      <c r="G6912" s="5"/>
    </row>
    <row r="6913" spans="1:26" customHeight="1" ht="18" hidden="true" outlineLevel="3">
      <c r="A6913" s="2" t="s">
        <v>13058</v>
      </c>
      <c r="B6913" s="3" t="s">
        <v>13059</v>
      </c>
      <c r="C6913" s="2"/>
      <c r="D6913" s="2" t="s">
        <v>16</v>
      </c>
      <c r="E6913" s="4">
        <f>2.25*(1-Z1%)</f>
        <v>2.25</v>
      </c>
      <c r="F6913" s="2">
        <v>4</v>
      </c>
      <c r="G6913" s="2"/>
    </row>
    <row r="6914" spans="1:26" customHeight="1" ht="35" hidden="true" outlineLevel="3">
      <c r="A6914" s="5" t="s">
        <v>13060</v>
      </c>
      <c r="B6914" s="5"/>
      <c r="C6914" s="5"/>
      <c r="D6914" s="5"/>
      <c r="E6914" s="5"/>
      <c r="F6914" s="5"/>
      <c r="G6914" s="5"/>
    </row>
    <row r="6915" spans="1:26" customHeight="1" ht="18" hidden="true" outlineLevel="3">
      <c r="A6915" s="2" t="s">
        <v>13061</v>
      </c>
      <c r="B6915" s="3" t="s">
        <v>13062</v>
      </c>
      <c r="C6915" s="2"/>
      <c r="D6915" s="2" t="s">
        <v>16</v>
      </c>
      <c r="E6915" s="4">
        <f>68.07*(1-Z1%)</f>
        <v>68.07</v>
      </c>
      <c r="F6915" s="2">
        <v>2</v>
      </c>
      <c r="G6915" s="2"/>
    </row>
    <row r="6916" spans="1:26" customHeight="1" ht="36" hidden="true" outlineLevel="3">
      <c r="A6916" s="2" t="s">
        <v>13063</v>
      </c>
      <c r="B6916" s="3" t="s">
        <v>13064</v>
      </c>
      <c r="C6916" s="2"/>
      <c r="D6916" s="2" t="s">
        <v>16</v>
      </c>
      <c r="E6916" s="4">
        <f>30.94*(1-Z1%)</f>
        <v>30.94</v>
      </c>
      <c r="F6916" s="2">
        <v>5</v>
      </c>
      <c r="G6916" s="2"/>
    </row>
    <row r="6917" spans="1:26" customHeight="1" ht="36" hidden="true" outlineLevel="3">
      <c r="A6917" s="2" t="s">
        <v>13065</v>
      </c>
      <c r="B6917" s="3" t="s">
        <v>13066</v>
      </c>
      <c r="C6917" s="2"/>
      <c r="D6917" s="2" t="s">
        <v>16</v>
      </c>
      <c r="E6917" s="4">
        <f>24.75*(1-Z1%)</f>
        <v>24.75</v>
      </c>
      <c r="F6917" s="2">
        <v>3</v>
      </c>
      <c r="G6917" s="2"/>
    </row>
    <row r="6918" spans="1:26" customHeight="1" ht="36" hidden="true" outlineLevel="3">
      <c r="A6918" s="2" t="s">
        <v>13067</v>
      </c>
      <c r="B6918" s="3" t="s">
        <v>13068</v>
      </c>
      <c r="C6918" s="2"/>
      <c r="D6918" s="2" t="s">
        <v>16</v>
      </c>
      <c r="E6918" s="4">
        <f>145.06*(1-Z1%)</f>
        <v>145.06</v>
      </c>
      <c r="F6918" s="2">
        <v>3</v>
      </c>
      <c r="G6918" s="2"/>
    </row>
    <row r="6919" spans="1:26" customHeight="1" ht="36" hidden="true" outlineLevel="3">
      <c r="A6919" s="2" t="s">
        <v>13069</v>
      </c>
      <c r="B6919" s="3" t="s">
        <v>13070</v>
      </c>
      <c r="C6919" s="2"/>
      <c r="D6919" s="2" t="s">
        <v>16</v>
      </c>
      <c r="E6919" s="4">
        <f>32.90*(1-Z1%)</f>
        <v>32.9</v>
      </c>
      <c r="F6919" s="2">
        <v>5</v>
      </c>
      <c r="G6919" s="2"/>
    </row>
    <row r="6920" spans="1:26" customHeight="1" ht="36" hidden="true" outlineLevel="3">
      <c r="A6920" s="2" t="s">
        <v>13071</v>
      </c>
      <c r="B6920" s="3" t="s">
        <v>13072</v>
      </c>
      <c r="C6920" s="2"/>
      <c r="D6920" s="2" t="s">
        <v>16</v>
      </c>
      <c r="E6920" s="4">
        <f>48.97*(1-Z1%)</f>
        <v>48.97</v>
      </c>
      <c r="F6920" s="2">
        <v>3</v>
      </c>
      <c r="G6920" s="2"/>
    </row>
    <row r="6921" spans="1:26" customHeight="1" ht="36" hidden="true" outlineLevel="3">
      <c r="A6921" s="2" t="s">
        <v>13073</v>
      </c>
      <c r="B6921" s="3" t="s">
        <v>13074</v>
      </c>
      <c r="C6921" s="2"/>
      <c r="D6921" s="2" t="s">
        <v>16</v>
      </c>
      <c r="E6921" s="4">
        <f>18.57*(1-Z1%)</f>
        <v>18.57</v>
      </c>
      <c r="F6921" s="2">
        <v>3</v>
      </c>
      <c r="G6921" s="2"/>
    </row>
    <row r="6922" spans="1:26" customHeight="1" ht="36" hidden="true" outlineLevel="3">
      <c r="A6922" s="2" t="s">
        <v>13075</v>
      </c>
      <c r="B6922" s="3" t="s">
        <v>13076</v>
      </c>
      <c r="C6922" s="2"/>
      <c r="D6922" s="2" t="s">
        <v>16</v>
      </c>
      <c r="E6922" s="4">
        <f>44.85*(1-Z1%)</f>
        <v>44.85</v>
      </c>
      <c r="F6922" s="2">
        <v>9</v>
      </c>
      <c r="G6922" s="2"/>
    </row>
    <row r="6923" spans="1:26" customHeight="1" ht="36" hidden="true" outlineLevel="3">
      <c r="A6923" s="2" t="s">
        <v>13077</v>
      </c>
      <c r="B6923" s="3" t="s">
        <v>13078</v>
      </c>
      <c r="C6923" s="2"/>
      <c r="D6923" s="2" t="s">
        <v>16</v>
      </c>
      <c r="E6923" s="4">
        <f>66.15*(1-Z1%)</f>
        <v>66.15</v>
      </c>
      <c r="F6923" s="2">
        <v>2</v>
      </c>
      <c r="G6923" s="2"/>
    </row>
    <row r="6924" spans="1:26" customHeight="1" ht="36" hidden="true" outlineLevel="3">
      <c r="A6924" s="2" t="s">
        <v>13079</v>
      </c>
      <c r="B6924" s="3" t="s">
        <v>13080</v>
      </c>
      <c r="C6924" s="2"/>
      <c r="D6924" s="2" t="s">
        <v>16</v>
      </c>
      <c r="E6924" s="4">
        <f>52.49*(1-Z1%)</f>
        <v>52.49</v>
      </c>
      <c r="F6924" s="2">
        <v>2</v>
      </c>
      <c r="G6924" s="2"/>
    </row>
    <row r="6925" spans="1:26" customHeight="1" ht="35" hidden="true" outlineLevel="3">
      <c r="A6925" s="5" t="s">
        <v>13081</v>
      </c>
      <c r="B6925" s="5"/>
      <c r="C6925" s="5"/>
      <c r="D6925" s="5"/>
      <c r="E6925" s="5"/>
      <c r="F6925" s="5"/>
      <c r="G6925" s="5"/>
    </row>
    <row r="6926" spans="1:26" customHeight="1" ht="36" hidden="true" outlineLevel="3">
      <c r="A6926" s="2" t="s">
        <v>13082</v>
      </c>
      <c r="B6926" s="3" t="s">
        <v>13083</v>
      </c>
      <c r="C6926" s="2"/>
      <c r="D6926" s="2" t="s">
        <v>16</v>
      </c>
      <c r="E6926" s="4">
        <f>18.57*(1-Z1%)</f>
        <v>18.57</v>
      </c>
      <c r="F6926" s="2">
        <v>8</v>
      </c>
      <c r="G6926" s="2"/>
    </row>
    <row r="6927" spans="1:26" customHeight="1" ht="36" hidden="true" outlineLevel="3">
      <c r="A6927" s="2" t="s">
        <v>13084</v>
      </c>
      <c r="B6927" s="3" t="s">
        <v>13085</v>
      </c>
      <c r="C6927" s="2"/>
      <c r="D6927" s="2" t="s">
        <v>16</v>
      </c>
      <c r="E6927" s="4">
        <f>43.32*(1-Z1%)</f>
        <v>43.32</v>
      </c>
      <c r="F6927" s="2">
        <v>3</v>
      </c>
      <c r="G6927" s="2"/>
    </row>
    <row r="6928" spans="1:26" customHeight="1" ht="36" hidden="true" outlineLevel="3">
      <c r="A6928" s="2" t="s">
        <v>13086</v>
      </c>
      <c r="B6928" s="3" t="s">
        <v>13087</v>
      </c>
      <c r="C6928" s="2"/>
      <c r="D6928" s="2" t="s">
        <v>16</v>
      </c>
      <c r="E6928" s="4">
        <f>41.09*(1-Z1%)</f>
        <v>41.09</v>
      </c>
      <c r="F6928" s="2">
        <v>6</v>
      </c>
      <c r="G6928" s="2"/>
    </row>
    <row r="6929" spans="1:26" customHeight="1" ht="36" hidden="true" outlineLevel="3">
      <c r="A6929" s="2" t="s">
        <v>13088</v>
      </c>
      <c r="B6929" s="3" t="s">
        <v>13089</v>
      </c>
      <c r="C6929" s="2"/>
      <c r="D6929" s="2" t="s">
        <v>16</v>
      </c>
      <c r="E6929" s="4">
        <f>41.09*(1-Z1%)</f>
        <v>41.09</v>
      </c>
      <c r="F6929" s="2">
        <v>6</v>
      </c>
      <c r="G6929" s="2"/>
    </row>
    <row r="6930" spans="1:26" customHeight="1" ht="36" hidden="true" outlineLevel="3">
      <c r="A6930" s="2" t="s">
        <v>13090</v>
      </c>
      <c r="B6930" s="3" t="s">
        <v>13091</v>
      </c>
      <c r="C6930" s="2"/>
      <c r="D6930" s="2" t="s">
        <v>16</v>
      </c>
      <c r="E6930" s="4">
        <f>62.60*(1-Z1%)</f>
        <v>62.6</v>
      </c>
      <c r="F6930" s="2">
        <v>1</v>
      </c>
      <c r="G6930" s="2"/>
    </row>
    <row r="6931" spans="1:26" customHeight="1" ht="36" hidden="true" outlineLevel="3">
      <c r="A6931" s="2" t="s">
        <v>13092</v>
      </c>
      <c r="B6931" s="3" t="s">
        <v>13093</v>
      </c>
      <c r="C6931" s="2"/>
      <c r="D6931" s="2" t="s">
        <v>16</v>
      </c>
      <c r="E6931" s="4">
        <f>37.13*(1-Z1%)</f>
        <v>37.13</v>
      </c>
      <c r="F6931" s="2">
        <v>3</v>
      </c>
      <c r="G6931" s="2"/>
    </row>
    <row r="6932" spans="1:26" customHeight="1" ht="18" hidden="true" outlineLevel="3">
      <c r="A6932" s="2" t="s">
        <v>13094</v>
      </c>
      <c r="B6932" s="3" t="s">
        <v>13095</v>
      </c>
      <c r="C6932" s="2"/>
      <c r="D6932" s="2" t="s">
        <v>16</v>
      </c>
      <c r="E6932" s="4">
        <f>14.85*(1-Z1%)</f>
        <v>14.85</v>
      </c>
      <c r="F6932" s="2">
        <v>1</v>
      </c>
      <c r="G6932" s="2"/>
    </row>
    <row r="6933" spans="1:26" customHeight="1" ht="18" hidden="true" outlineLevel="3">
      <c r="A6933" s="2" t="s">
        <v>13096</v>
      </c>
      <c r="B6933" s="3" t="s">
        <v>13097</v>
      </c>
      <c r="C6933" s="2"/>
      <c r="D6933" s="2" t="s">
        <v>16</v>
      </c>
      <c r="E6933" s="4">
        <f>14.85*(1-Z1%)</f>
        <v>14.85</v>
      </c>
      <c r="F6933" s="2">
        <v>3</v>
      </c>
      <c r="G6933" s="2"/>
    </row>
    <row r="6934" spans="1:26" customHeight="1" ht="18" hidden="true" outlineLevel="3">
      <c r="A6934" s="2" t="s">
        <v>13098</v>
      </c>
      <c r="B6934" s="3" t="s">
        <v>13099</v>
      </c>
      <c r="C6934" s="2"/>
      <c r="D6934" s="2" t="s">
        <v>16</v>
      </c>
      <c r="E6934" s="4">
        <f>12.38*(1-Z1%)</f>
        <v>12.38</v>
      </c>
      <c r="F6934" s="2">
        <v>15</v>
      </c>
      <c r="G6934" s="2"/>
    </row>
    <row r="6935" spans="1:26" customHeight="1" ht="36" hidden="true" outlineLevel="3">
      <c r="A6935" s="2" t="s">
        <v>13100</v>
      </c>
      <c r="B6935" s="3" t="s">
        <v>13101</v>
      </c>
      <c r="C6935" s="2"/>
      <c r="D6935" s="2" t="s">
        <v>16</v>
      </c>
      <c r="E6935" s="4">
        <f>18.57*(1-Z1%)</f>
        <v>18.57</v>
      </c>
      <c r="F6935" s="2">
        <v>15</v>
      </c>
      <c r="G6935" s="2"/>
    </row>
    <row r="6936" spans="1:26" customHeight="1" ht="35" hidden="true" outlineLevel="3">
      <c r="A6936" s="5" t="s">
        <v>13102</v>
      </c>
      <c r="B6936" s="5"/>
      <c r="C6936" s="5"/>
      <c r="D6936" s="5"/>
      <c r="E6936" s="5"/>
      <c r="F6936" s="5"/>
      <c r="G6936" s="5"/>
    </row>
    <row r="6937" spans="1:26" customHeight="1" ht="35" hidden="true" outlineLevel="4">
      <c r="A6937" s="5" t="s">
        <v>13103</v>
      </c>
      <c r="B6937" s="5"/>
      <c r="C6937" s="5"/>
      <c r="D6937" s="5"/>
      <c r="E6937" s="5"/>
      <c r="F6937" s="5"/>
      <c r="G6937" s="5"/>
    </row>
    <row r="6938" spans="1:26" customHeight="1" ht="18" hidden="true" outlineLevel="4">
      <c r="A6938" s="2" t="s">
        <v>13104</v>
      </c>
      <c r="B6938" s="3" t="s">
        <v>13105</v>
      </c>
      <c r="C6938" s="2"/>
      <c r="D6938" s="2" t="s">
        <v>16</v>
      </c>
      <c r="E6938" s="4">
        <f>89.10*(1-Z1%)</f>
        <v>89.1</v>
      </c>
      <c r="F6938" s="2">
        <v>11</v>
      </c>
      <c r="G6938" s="2"/>
    </row>
    <row r="6939" spans="1:26" customHeight="1" ht="18" hidden="true" outlineLevel="4">
      <c r="A6939" s="2" t="s">
        <v>13106</v>
      </c>
      <c r="B6939" s="3" t="s">
        <v>13107</v>
      </c>
      <c r="C6939" s="2"/>
      <c r="D6939" s="2" t="s">
        <v>16</v>
      </c>
      <c r="E6939" s="4">
        <f>82.42*(1-Z1%)</f>
        <v>82.42</v>
      </c>
      <c r="F6939" s="2">
        <v>13</v>
      </c>
      <c r="G6939" s="2"/>
    </row>
    <row r="6940" spans="1:26" customHeight="1" ht="18" hidden="true" outlineLevel="4">
      <c r="A6940" s="2" t="s">
        <v>13108</v>
      </c>
      <c r="B6940" s="3" t="s">
        <v>13109</v>
      </c>
      <c r="C6940" s="2"/>
      <c r="D6940" s="2" t="s">
        <v>16</v>
      </c>
      <c r="E6940" s="4">
        <f>82.42*(1-Z1%)</f>
        <v>82.42</v>
      </c>
      <c r="F6940" s="2">
        <v>12</v>
      </c>
      <c r="G6940" s="2"/>
    </row>
    <row r="6941" spans="1:26" customHeight="1" ht="18" hidden="true" outlineLevel="4">
      <c r="A6941" s="2" t="s">
        <v>13110</v>
      </c>
      <c r="B6941" s="3" t="s">
        <v>13111</v>
      </c>
      <c r="C6941" s="2"/>
      <c r="D6941" s="2" t="s">
        <v>16</v>
      </c>
      <c r="E6941" s="4">
        <f>72.57*(1-Z1%)</f>
        <v>72.57</v>
      </c>
      <c r="F6941" s="2">
        <v>1</v>
      </c>
      <c r="G6941" s="2"/>
    </row>
    <row r="6942" spans="1:26" customHeight="1" ht="18" hidden="true" outlineLevel="4">
      <c r="A6942" s="2" t="s">
        <v>13112</v>
      </c>
      <c r="B6942" s="3" t="s">
        <v>13113</v>
      </c>
      <c r="C6942" s="2"/>
      <c r="D6942" s="2" t="s">
        <v>16</v>
      </c>
      <c r="E6942" s="4">
        <f>74.04*(1-Z1%)</f>
        <v>74.04</v>
      </c>
      <c r="F6942" s="2">
        <v>5</v>
      </c>
      <c r="G6942" s="2"/>
    </row>
    <row r="6943" spans="1:26" customHeight="1" ht="18" hidden="true" outlineLevel="4">
      <c r="A6943" s="2" t="s">
        <v>13114</v>
      </c>
      <c r="B6943" s="3" t="s">
        <v>13115</v>
      </c>
      <c r="C6943" s="2"/>
      <c r="D6943" s="2" t="s">
        <v>16</v>
      </c>
      <c r="E6943" s="4">
        <f>66.83*(1-Z1%)</f>
        <v>66.83</v>
      </c>
      <c r="F6943" s="2">
        <v>2</v>
      </c>
      <c r="G6943" s="2"/>
    </row>
    <row r="6944" spans="1:26" customHeight="1" ht="18" hidden="true" outlineLevel="4">
      <c r="A6944" s="2" t="s">
        <v>13116</v>
      </c>
      <c r="B6944" s="3" t="s">
        <v>13117</v>
      </c>
      <c r="C6944" s="2"/>
      <c r="D6944" s="2" t="s">
        <v>16</v>
      </c>
      <c r="E6944" s="4">
        <f>82.42*(1-Z1%)</f>
        <v>82.42</v>
      </c>
      <c r="F6944" s="2">
        <v>6</v>
      </c>
      <c r="G6944" s="2"/>
    </row>
    <row r="6945" spans="1:26" customHeight="1" ht="35" hidden="true" outlineLevel="4">
      <c r="A6945" s="5" t="s">
        <v>13118</v>
      </c>
      <c r="B6945" s="5"/>
      <c r="C6945" s="5"/>
      <c r="D6945" s="5"/>
      <c r="E6945" s="5"/>
      <c r="F6945" s="5"/>
      <c r="G6945" s="5"/>
    </row>
    <row r="6946" spans="1:26" customHeight="1" ht="18" hidden="true" outlineLevel="4">
      <c r="A6946" s="2" t="s">
        <v>13119</v>
      </c>
      <c r="B6946" s="3" t="s">
        <v>13120</v>
      </c>
      <c r="C6946" s="2"/>
      <c r="D6946" s="2" t="s">
        <v>16</v>
      </c>
      <c r="E6946" s="4">
        <f>9.66*(1-Z1%)</f>
        <v>9.66</v>
      </c>
      <c r="F6946" s="2">
        <v>50</v>
      </c>
      <c r="G6946" s="2"/>
    </row>
    <row r="6947" spans="1:26" customHeight="1" ht="35" hidden="true" outlineLevel="4">
      <c r="A6947" s="5" t="s">
        <v>13121</v>
      </c>
      <c r="B6947" s="5"/>
      <c r="C6947" s="5"/>
      <c r="D6947" s="5"/>
      <c r="E6947" s="5"/>
      <c r="F6947" s="5"/>
      <c r="G6947" s="5"/>
    </row>
    <row r="6948" spans="1:26" customHeight="1" ht="18" hidden="true" outlineLevel="4">
      <c r="A6948" s="2" t="s">
        <v>13122</v>
      </c>
      <c r="B6948" s="3" t="s">
        <v>13123</v>
      </c>
      <c r="C6948" s="2"/>
      <c r="D6948" s="2" t="s">
        <v>16</v>
      </c>
      <c r="E6948" s="4">
        <f>8.78*(1-Z1%)</f>
        <v>8.78</v>
      </c>
      <c r="F6948" s="2">
        <v>20</v>
      </c>
      <c r="G6948" s="2"/>
    </row>
    <row r="6949" spans="1:26" customHeight="1" ht="18" hidden="true" outlineLevel="4">
      <c r="A6949" s="2" t="s">
        <v>13124</v>
      </c>
      <c r="B6949" s="3" t="s">
        <v>13125</v>
      </c>
      <c r="C6949" s="2"/>
      <c r="D6949" s="2" t="s">
        <v>16</v>
      </c>
      <c r="E6949" s="4">
        <f>17.33*(1-Z1%)</f>
        <v>17.33</v>
      </c>
      <c r="F6949" s="2">
        <v>15</v>
      </c>
      <c r="G6949" s="2"/>
    </row>
    <row r="6950" spans="1:26" customHeight="1" ht="18" hidden="true" outlineLevel="4">
      <c r="A6950" s="2" t="s">
        <v>13126</v>
      </c>
      <c r="B6950" s="3" t="s">
        <v>13127</v>
      </c>
      <c r="C6950" s="2"/>
      <c r="D6950" s="2" t="s">
        <v>16</v>
      </c>
      <c r="E6950" s="4">
        <f>30.94*(1-Z1%)</f>
        <v>30.94</v>
      </c>
      <c r="F6950" s="2">
        <v>15</v>
      </c>
      <c r="G6950" s="2"/>
    </row>
    <row r="6951" spans="1:26" customHeight="1" ht="18" hidden="true" outlineLevel="4">
      <c r="A6951" s="2" t="s">
        <v>13128</v>
      </c>
      <c r="B6951" s="3" t="s">
        <v>13129</v>
      </c>
      <c r="C6951" s="2"/>
      <c r="D6951" s="2" t="s">
        <v>16</v>
      </c>
      <c r="E6951" s="4">
        <f>19.80*(1-Z1%)</f>
        <v>19.8</v>
      </c>
      <c r="F6951" s="2">
        <v>32</v>
      </c>
      <c r="G6951" s="2"/>
    </row>
    <row r="6952" spans="1:26" customHeight="1" ht="18" hidden="true" outlineLevel="4">
      <c r="A6952" s="2" t="s">
        <v>13130</v>
      </c>
      <c r="B6952" s="3" t="s">
        <v>13131</v>
      </c>
      <c r="C6952" s="2"/>
      <c r="D6952" s="2" t="s">
        <v>16</v>
      </c>
      <c r="E6952" s="4">
        <f>22.50*(1-Z1%)</f>
        <v>22.5</v>
      </c>
      <c r="F6952" s="2">
        <v>4</v>
      </c>
      <c r="G6952" s="2"/>
    </row>
    <row r="6953" spans="1:26" customHeight="1" ht="18" hidden="true" outlineLevel="4">
      <c r="A6953" s="2" t="s">
        <v>13132</v>
      </c>
      <c r="B6953" s="3" t="s">
        <v>13133</v>
      </c>
      <c r="C6953" s="2"/>
      <c r="D6953" s="2" t="s">
        <v>16</v>
      </c>
      <c r="E6953" s="4">
        <f>10.82*(1-Z1%)</f>
        <v>10.82</v>
      </c>
      <c r="F6953" s="2">
        <v>5</v>
      </c>
      <c r="G6953" s="2"/>
    </row>
    <row r="6954" spans="1:26" customHeight="1" ht="18" hidden="true" outlineLevel="4">
      <c r="A6954" s="2" t="s">
        <v>13134</v>
      </c>
      <c r="B6954" s="3" t="s">
        <v>13135</v>
      </c>
      <c r="C6954" s="2"/>
      <c r="D6954" s="2" t="s">
        <v>16</v>
      </c>
      <c r="E6954" s="4">
        <f>92.82*(1-Z1%)</f>
        <v>92.82</v>
      </c>
      <c r="F6954" s="2">
        <v>5</v>
      </c>
      <c r="G6954" s="2"/>
    </row>
    <row r="6955" spans="1:26" customHeight="1" ht="18" hidden="true" outlineLevel="4">
      <c r="A6955" s="2" t="s">
        <v>13136</v>
      </c>
      <c r="B6955" s="3" t="s">
        <v>13137</v>
      </c>
      <c r="C6955" s="2"/>
      <c r="D6955" s="2" t="s">
        <v>16</v>
      </c>
      <c r="E6955" s="4">
        <f>37.13*(1-Z1%)</f>
        <v>37.13</v>
      </c>
      <c r="F6955" s="2">
        <v>20</v>
      </c>
      <c r="G6955" s="2"/>
    </row>
    <row r="6956" spans="1:26" customHeight="1" ht="18" hidden="true" outlineLevel="4">
      <c r="A6956" s="2" t="s">
        <v>13138</v>
      </c>
      <c r="B6956" s="3" t="s">
        <v>13139</v>
      </c>
      <c r="C6956" s="2"/>
      <c r="D6956" s="2" t="s">
        <v>16</v>
      </c>
      <c r="E6956" s="4">
        <f>16.21*(1-Z1%)</f>
        <v>16.21</v>
      </c>
      <c r="F6956" s="2">
        <v>10</v>
      </c>
      <c r="G6956" s="2"/>
    </row>
    <row r="6957" spans="1:26" customHeight="1" ht="35" hidden="true" outlineLevel="4">
      <c r="A6957" s="5" t="s">
        <v>13140</v>
      </c>
      <c r="B6957" s="5"/>
      <c r="C6957" s="5"/>
      <c r="D6957" s="5"/>
      <c r="E6957" s="5"/>
      <c r="F6957" s="5"/>
      <c r="G6957" s="5"/>
    </row>
    <row r="6958" spans="1:26" customHeight="1" ht="18" hidden="true" outlineLevel="4">
      <c r="A6958" s="2" t="s">
        <v>13141</v>
      </c>
      <c r="B6958" s="3" t="s">
        <v>13142</v>
      </c>
      <c r="C6958" s="2"/>
      <c r="D6958" s="2" t="s">
        <v>16</v>
      </c>
      <c r="E6958" s="4">
        <f>30.94*(1-Z1%)</f>
        <v>30.94</v>
      </c>
      <c r="F6958" s="2">
        <v>32</v>
      </c>
      <c r="G6958" s="2"/>
    </row>
    <row r="6959" spans="1:26" customHeight="1" ht="18" hidden="true" outlineLevel="4">
      <c r="A6959" s="2" t="s">
        <v>13143</v>
      </c>
      <c r="B6959" s="3" t="s">
        <v>13144</v>
      </c>
      <c r="C6959" s="2"/>
      <c r="D6959" s="2" t="s">
        <v>16</v>
      </c>
      <c r="E6959" s="4">
        <f>19.97*(1-Z1%)</f>
        <v>19.97</v>
      </c>
      <c r="F6959" s="2">
        <v>22</v>
      </c>
      <c r="G6959" s="2"/>
    </row>
    <row r="6960" spans="1:26" customHeight="1" ht="18" hidden="true" outlineLevel="4">
      <c r="A6960" s="2" t="s">
        <v>13145</v>
      </c>
      <c r="B6960" s="3" t="s">
        <v>13146</v>
      </c>
      <c r="C6960" s="2"/>
      <c r="D6960" s="2" t="s">
        <v>16</v>
      </c>
      <c r="E6960" s="4">
        <f>19.25*(1-Z1%)</f>
        <v>19.25</v>
      </c>
      <c r="F6960" s="2">
        <v>40</v>
      </c>
      <c r="G6960" s="2"/>
    </row>
    <row r="6961" spans="1:26" customHeight="1" ht="18" hidden="true" outlineLevel="4">
      <c r="A6961" s="2" t="s">
        <v>13147</v>
      </c>
      <c r="B6961" s="3" t="s">
        <v>13148</v>
      </c>
      <c r="C6961" s="2"/>
      <c r="D6961" s="2" t="s">
        <v>16</v>
      </c>
      <c r="E6961" s="4">
        <f>30.94*(1-Z1%)</f>
        <v>30.94</v>
      </c>
      <c r="F6961" s="2">
        <v>10</v>
      </c>
      <c r="G6961" s="2"/>
    </row>
    <row r="6962" spans="1:26" customHeight="1" ht="18" hidden="true" outlineLevel="4">
      <c r="A6962" s="2" t="s">
        <v>13149</v>
      </c>
      <c r="B6962" s="3" t="s">
        <v>13150</v>
      </c>
      <c r="C6962" s="2"/>
      <c r="D6962" s="2" t="s">
        <v>16</v>
      </c>
      <c r="E6962" s="4">
        <f>24.75*(1-Z1%)</f>
        <v>24.75</v>
      </c>
      <c r="F6962" s="2">
        <v>30</v>
      </c>
      <c r="G6962" s="2"/>
    </row>
    <row r="6963" spans="1:26" customHeight="1" ht="18" hidden="true" outlineLevel="4">
      <c r="A6963" s="2" t="s">
        <v>13151</v>
      </c>
      <c r="B6963" s="3" t="s">
        <v>13152</v>
      </c>
      <c r="C6963" s="2"/>
      <c r="D6963" s="2" t="s">
        <v>16</v>
      </c>
      <c r="E6963" s="4">
        <f>15.87*(1-Z1%)</f>
        <v>15.87</v>
      </c>
      <c r="F6963" s="2">
        <v>30</v>
      </c>
      <c r="G6963" s="2"/>
    </row>
    <row r="6964" spans="1:26" customHeight="1" ht="18" hidden="true" outlineLevel="4">
      <c r="A6964" s="2" t="s">
        <v>13153</v>
      </c>
      <c r="B6964" s="3" t="s">
        <v>13154</v>
      </c>
      <c r="C6964" s="2"/>
      <c r="D6964" s="2" t="s">
        <v>16</v>
      </c>
      <c r="E6964" s="4">
        <f>43.32*(1-Z1%)</f>
        <v>43.32</v>
      </c>
      <c r="F6964" s="2">
        <v>5</v>
      </c>
      <c r="G6964" s="2"/>
    </row>
    <row r="6965" spans="1:26" customHeight="1" ht="18" hidden="true" outlineLevel="4">
      <c r="A6965" s="2" t="s">
        <v>13155</v>
      </c>
      <c r="B6965" s="3" t="s">
        <v>13156</v>
      </c>
      <c r="C6965" s="2"/>
      <c r="D6965" s="2" t="s">
        <v>16</v>
      </c>
      <c r="E6965" s="4">
        <f>43.32*(1-Z1%)</f>
        <v>43.32</v>
      </c>
      <c r="F6965" s="2">
        <v>5</v>
      </c>
      <c r="G6965" s="2"/>
    </row>
    <row r="6966" spans="1:26" customHeight="1" ht="18" hidden="true" outlineLevel="4">
      <c r="A6966" s="2" t="s">
        <v>13157</v>
      </c>
      <c r="B6966" s="3" t="s">
        <v>13158</v>
      </c>
      <c r="C6966" s="2"/>
      <c r="D6966" s="2" t="s">
        <v>16</v>
      </c>
      <c r="E6966" s="4">
        <f>49.61*(1-Z1%)</f>
        <v>49.61</v>
      </c>
      <c r="F6966" s="2">
        <v>14</v>
      </c>
      <c r="G6966" s="2"/>
    </row>
    <row r="6967" spans="1:26" customHeight="1" ht="36" hidden="true" outlineLevel="4">
      <c r="A6967" s="2" t="s">
        <v>13159</v>
      </c>
      <c r="B6967" s="3" t="s">
        <v>13160</v>
      </c>
      <c r="C6967" s="2"/>
      <c r="D6967" s="2" t="s">
        <v>16</v>
      </c>
      <c r="E6967" s="4">
        <f>86.63*(1-Z1%)</f>
        <v>86.63</v>
      </c>
      <c r="F6967" s="2">
        <v>5</v>
      </c>
      <c r="G6967" s="2"/>
    </row>
    <row r="6968" spans="1:26" customHeight="1" ht="36" hidden="true" outlineLevel="4">
      <c r="A6968" s="2" t="s">
        <v>13161</v>
      </c>
      <c r="B6968" s="3" t="s">
        <v>13162</v>
      </c>
      <c r="C6968" s="2"/>
      <c r="D6968" s="2" t="s">
        <v>16</v>
      </c>
      <c r="E6968" s="4">
        <f>86.63*(1-Z1%)</f>
        <v>86.63</v>
      </c>
      <c r="F6968" s="2">
        <v>3</v>
      </c>
      <c r="G6968" s="2"/>
    </row>
    <row r="6969" spans="1:26" customHeight="1" ht="35" hidden="true" outlineLevel="4">
      <c r="A6969" s="5" t="s">
        <v>13163</v>
      </c>
      <c r="B6969" s="5"/>
      <c r="C6969" s="5"/>
      <c r="D6969" s="5"/>
      <c r="E6969" s="5"/>
      <c r="F6969" s="5"/>
      <c r="G6969" s="5"/>
    </row>
    <row r="6970" spans="1:26" customHeight="1" ht="18" hidden="true" outlineLevel="4">
      <c r="A6970" s="2" t="s">
        <v>13164</v>
      </c>
      <c r="B6970" s="3" t="s">
        <v>13165</v>
      </c>
      <c r="C6970" s="2"/>
      <c r="D6970" s="2" t="s">
        <v>16</v>
      </c>
      <c r="E6970" s="4">
        <f>17.49*(1-Z1%)</f>
        <v>17.49</v>
      </c>
      <c r="F6970" s="2">
        <v>1</v>
      </c>
      <c r="G6970" s="2"/>
    </row>
    <row r="6971" spans="1:26" customHeight="1" ht="18" hidden="true" outlineLevel="4">
      <c r="A6971" s="2" t="s">
        <v>13166</v>
      </c>
      <c r="B6971" s="3" t="s">
        <v>13167</v>
      </c>
      <c r="C6971" s="2"/>
      <c r="D6971" s="2" t="s">
        <v>16</v>
      </c>
      <c r="E6971" s="4">
        <f>16.70*(1-Z1%)</f>
        <v>16.7</v>
      </c>
      <c r="F6971" s="2">
        <v>3</v>
      </c>
      <c r="G6971" s="2"/>
    </row>
    <row r="6972" spans="1:26" customHeight="1" ht="35" hidden="true" outlineLevel="4">
      <c r="A6972" s="5" t="s">
        <v>13168</v>
      </c>
      <c r="B6972" s="5"/>
      <c r="C6972" s="5"/>
      <c r="D6972" s="5"/>
      <c r="E6972" s="5"/>
      <c r="F6972" s="5"/>
      <c r="G6972" s="5"/>
    </row>
    <row r="6973" spans="1:26" customHeight="1" ht="18" hidden="true" outlineLevel="4">
      <c r="A6973" s="2" t="s">
        <v>13169</v>
      </c>
      <c r="B6973" s="3" t="s">
        <v>13170</v>
      </c>
      <c r="C6973" s="2"/>
      <c r="D6973" s="2" t="s">
        <v>16</v>
      </c>
      <c r="E6973" s="4">
        <f>30.94*(1-Z1%)</f>
        <v>30.94</v>
      </c>
      <c r="F6973" s="2">
        <v>21</v>
      </c>
      <c r="G6973" s="2"/>
    </row>
    <row r="6974" spans="1:26" customHeight="1" ht="18" hidden="true" outlineLevel="4">
      <c r="A6974" s="2" t="s">
        <v>13171</v>
      </c>
      <c r="B6974" s="3" t="s">
        <v>13172</v>
      </c>
      <c r="C6974" s="2"/>
      <c r="D6974" s="2" t="s">
        <v>16</v>
      </c>
      <c r="E6974" s="4">
        <f>123.75*(1-Z1%)</f>
        <v>123.75</v>
      </c>
      <c r="F6974" s="2">
        <v>17</v>
      </c>
      <c r="G6974" s="2"/>
    </row>
    <row r="6975" spans="1:26" customHeight="1" ht="36" hidden="true" outlineLevel="4">
      <c r="A6975" s="2" t="s">
        <v>13173</v>
      </c>
      <c r="B6975" s="3" t="s">
        <v>13174</v>
      </c>
      <c r="C6975" s="2"/>
      <c r="D6975" s="2" t="s">
        <v>16</v>
      </c>
      <c r="E6975" s="4">
        <f>371.25*(1-Z1%)</f>
        <v>371.25</v>
      </c>
      <c r="F6975" s="2">
        <v>7</v>
      </c>
      <c r="G6975" s="2"/>
    </row>
    <row r="6976" spans="1:26" customHeight="1" ht="36" hidden="true" outlineLevel="4">
      <c r="A6976" s="2" t="s">
        <v>13175</v>
      </c>
      <c r="B6976" s="3" t="s">
        <v>13176</v>
      </c>
      <c r="C6976" s="2"/>
      <c r="D6976" s="2" t="s">
        <v>16</v>
      </c>
      <c r="E6976" s="4">
        <f>371.25*(1-Z1%)</f>
        <v>371.25</v>
      </c>
      <c r="F6976" s="2">
        <v>7</v>
      </c>
      <c r="G6976" s="2"/>
    </row>
    <row r="6977" spans="1:26" customHeight="1" ht="18" hidden="true" outlineLevel="4">
      <c r="A6977" s="2" t="s">
        <v>13177</v>
      </c>
      <c r="B6977" s="3" t="s">
        <v>13178</v>
      </c>
      <c r="C6977" s="2"/>
      <c r="D6977" s="2" t="s">
        <v>16</v>
      </c>
      <c r="E6977" s="4">
        <f>8.08*(1-Z1%)</f>
        <v>8.08</v>
      </c>
      <c r="F6977" s="2">
        <v>85</v>
      </c>
      <c r="G6977" s="2"/>
    </row>
    <row r="6978" spans="1:26" customHeight="1" ht="35" hidden="true" outlineLevel="4">
      <c r="A6978" s="5" t="s">
        <v>13179</v>
      </c>
      <c r="B6978" s="5"/>
      <c r="C6978" s="5"/>
      <c r="D6978" s="5"/>
      <c r="E6978" s="5"/>
      <c r="F6978" s="5"/>
      <c r="G6978" s="5"/>
    </row>
    <row r="6979" spans="1:26" customHeight="1" ht="18" hidden="true" outlineLevel="4">
      <c r="A6979" s="2" t="s">
        <v>13180</v>
      </c>
      <c r="B6979" s="3" t="s">
        <v>13181</v>
      </c>
      <c r="C6979" s="2"/>
      <c r="D6979" s="2" t="s">
        <v>16</v>
      </c>
      <c r="E6979" s="4">
        <f>30.94*(1-Z1%)</f>
        <v>30.94</v>
      </c>
      <c r="F6979" s="2">
        <v>18</v>
      </c>
      <c r="G6979" s="2"/>
    </row>
    <row r="6980" spans="1:26" customHeight="1" ht="36" hidden="true" outlineLevel="4">
      <c r="A6980" s="2" t="s">
        <v>13182</v>
      </c>
      <c r="B6980" s="3" t="s">
        <v>13183</v>
      </c>
      <c r="C6980" s="2"/>
      <c r="D6980" s="2" t="s">
        <v>16</v>
      </c>
      <c r="E6980" s="4">
        <f>20.09*(1-Z1%)</f>
        <v>20.09</v>
      </c>
      <c r="F6980" s="2">
        <v>15</v>
      </c>
      <c r="G6980" s="2"/>
    </row>
    <row r="6981" spans="1:26" customHeight="1" ht="18" hidden="true" outlineLevel="4">
      <c r="A6981" s="2" t="s">
        <v>13184</v>
      </c>
      <c r="B6981" s="3" t="s">
        <v>13185</v>
      </c>
      <c r="C6981" s="2"/>
      <c r="D6981" s="2" t="s">
        <v>16</v>
      </c>
      <c r="E6981" s="4">
        <f>25.86*(1-Z1%)</f>
        <v>25.86</v>
      </c>
      <c r="F6981" s="2">
        <v>25</v>
      </c>
      <c r="G6981" s="2"/>
    </row>
    <row r="6982" spans="1:26" customHeight="1" ht="35" hidden="true" outlineLevel="3">
      <c r="A6982" s="5" t="s">
        <v>13186</v>
      </c>
      <c r="B6982" s="5"/>
      <c r="C6982" s="5"/>
      <c r="D6982" s="5"/>
      <c r="E6982" s="5"/>
      <c r="F6982" s="5"/>
      <c r="G6982" s="5"/>
    </row>
    <row r="6983" spans="1:26" customHeight="1" ht="36" hidden="true" outlineLevel="3">
      <c r="A6983" s="2" t="s">
        <v>13187</v>
      </c>
      <c r="B6983" s="3" t="s">
        <v>13188</v>
      </c>
      <c r="C6983" s="2"/>
      <c r="D6983" s="2" t="s">
        <v>16</v>
      </c>
      <c r="E6983" s="4">
        <f>43.32*(1-Z1%)</f>
        <v>43.32</v>
      </c>
      <c r="F6983" s="2">
        <v>10</v>
      </c>
      <c r="G6983" s="2"/>
    </row>
    <row r="6984" spans="1:26" customHeight="1" ht="36" hidden="true" outlineLevel="3">
      <c r="A6984" s="2" t="s">
        <v>13189</v>
      </c>
      <c r="B6984" s="3" t="s">
        <v>13190</v>
      </c>
      <c r="C6984" s="2"/>
      <c r="D6984" s="2" t="s">
        <v>16</v>
      </c>
      <c r="E6984" s="4">
        <f>22.28*(1-Z1%)</f>
        <v>22.28</v>
      </c>
      <c r="F6984" s="2">
        <v>20</v>
      </c>
      <c r="G6984" s="2"/>
    </row>
    <row r="6985" spans="1:26" customHeight="1" ht="36" hidden="true" outlineLevel="3">
      <c r="A6985" s="2" t="s">
        <v>13191</v>
      </c>
      <c r="B6985" s="3" t="s">
        <v>13192</v>
      </c>
      <c r="C6985" s="2"/>
      <c r="D6985" s="2" t="s">
        <v>16</v>
      </c>
      <c r="E6985" s="4">
        <f>136.13*(1-Z1%)</f>
        <v>136.13</v>
      </c>
      <c r="F6985" s="2">
        <v>1</v>
      </c>
      <c r="G6985" s="2"/>
    </row>
    <row r="6986" spans="1:26" customHeight="1" ht="36" hidden="true" outlineLevel="3">
      <c r="A6986" s="2" t="s">
        <v>13193</v>
      </c>
      <c r="B6986" s="3" t="s">
        <v>13194</v>
      </c>
      <c r="C6986" s="2"/>
      <c r="D6986" s="2" t="s">
        <v>16</v>
      </c>
      <c r="E6986" s="4">
        <f>86.63*(1-Z1%)</f>
        <v>86.63</v>
      </c>
      <c r="F6986" s="2">
        <v>2</v>
      </c>
      <c r="G6986" s="2"/>
    </row>
    <row r="6987" spans="1:26" customHeight="1" ht="18" hidden="true" outlineLevel="3">
      <c r="A6987" s="2" t="s">
        <v>13195</v>
      </c>
      <c r="B6987" s="3" t="s">
        <v>13196</v>
      </c>
      <c r="C6987" s="2"/>
      <c r="D6987" s="2" t="s">
        <v>16</v>
      </c>
      <c r="E6987" s="4">
        <f>16.09*(1-Z1%)</f>
        <v>16.09</v>
      </c>
      <c r="F6987" s="2">
        <v>35</v>
      </c>
      <c r="G6987" s="2"/>
    </row>
    <row r="6988" spans="1:26" customHeight="1" ht="18" hidden="true" outlineLevel="3">
      <c r="A6988" s="2" t="s">
        <v>13197</v>
      </c>
      <c r="B6988" s="3" t="s">
        <v>13198</v>
      </c>
      <c r="C6988" s="2"/>
      <c r="D6988" s="2" t="s">
        <v>16</v>
      </c>
      <c r="E6988" s="4">
        <f>8.67*(1-Z1%)</f>
        <v>8.67</v>
      </c>
      <c r="F6988" s="2">
        <v>40</v>
      </c>
      <c r="G6988" s="2"/>
    </row>
    <row r="6989" spans="1:26" customHeight="1" ht="18" hidden="true" outlineLevel="3">
      <c r="A6989" s="2" t="s">
        <v>13199</v>
      </c>
      <c r="B6989" s="3" t="s">
        <v>13200</v>
      </c>
      <c r="C6989" s="2"/>
      <c r="D6989" s="2" t="s">
        <v>16</v>
      </c>
      <c r="E6989" s="4">
        <f>8.67*(1-Z1%)</f>
        <v>8.67</v>
      </c>
      <c r="F6989" s="2">
        <v>30</v>
      </c>
      <c r="G6989" s="2"/>
    </row>
    <row r="6990" spans="1:26" customHeight="1" ht="18" hidden="true" outlineLevel="3">
      <c r="A6990" s="2" t="s">
        <v>13201</v>
      </c>
      <c r="B6990" s="3" t="s">
        <v>13202</v>
      </c>
      <c r="C6990" s="2"/>
      <c r="D6990" s="2" t="s">
        <v>16</v>
      </c>
      <c r="E6990" s="4">
        <f>8.67*(1-Z1%)</f>
        <v>8.67</v>
      </c>
      <c r="F6990" s="2">
        <v>30</v>
      </c>
      <c r="G6990" s="2"/>
    </row>
    <row r="6991" spans="1:26" customHeight="1" ht="18" hidden="true" outlineLevel="3">
      <c r="A6991" s="2" t="s">
        <v>13203</v>
      </c>
      <c r="B6991" s="3" t="s">
        <v>13204</v>
      </c>
      <c r="C6991" s="2"/>
      <c r="D6991" s="2" t="s">
        <v>16</v>
      </c>
      <c r="E6991" s="4">
        <f>30.94*(1-Z1%)</f>
        <v>30.94</v>
      </c>
      <c r="F6991" s="2">
        <v>10</v>
      </c>
      <c r="G6991" s="2"/>
    </row>
    <row r="6992" spans="1:26" customHeight="1" ht="18" hidden="true" outlineLevel="3">
      <c r="A6992" s="2" t="s">
        <v>13205</v>
      </c>
      <c r="B6992" s="3" t="s">
        <v>13206</v>
      </c>
      <c r="C6992" s="2"/>
      <c r="D6992" s="2" t="s">
        <v>16</v>
      </c>
      <c r="E6992" s="4">
        <f>30.94*(1-Z1%)</f>
        <v>30.94</v>
      </c>
      <c r="F6992" s="2">
        <v>7</v>
      </c>
      <c r="G6992" s="2"/>
    </row>
    <row r="6993" spans="1:26" customHeight="1" ht="35" hidden="true" outlineLevel="3">
      <c r="A6993" s="5" t="s">
        <v>13207</v>
      </c>
      <c r="B6993" s="5"/>
      <c r="C6993" s="5"/>
      <c r="D6993" s="5"/>
      <c r="E6993" s="5"/>
      <c r="F6993" s="5"/>
      <c r="G6993" s="5"/>
    </row>
    <row r="6994" spans="1:26" customHeight="1" ht="18" hidden="true" outlineLevel="3">
      <c r="A6994" s="2" t="s">
        <v>13208</v>
      </c>
      <c r="B6994" s="3" t="s">
        <v>13209</v>
      </c>
      <c r="C6994" s="2"/>
      <c r="D6994" s="2" t="s">
        <v>16</v>
      </c>
      <c r="E6994" s="4">
        <f>30.80*(1-Z1%)</f>
        <v>30.8</v>
      </c>
      <c r="F6994" s="2">
        <v>4</v>
      </c>
      <c r="G6994" s="2"/>
    </row>
    <row r="6995" spans="1:26" customHeight="1" ht="36" hidden="true" outlineLevel="3">
      <c r="A6995" s="2" t="s">
        <v>13210</v>
      </c>
      <c r="B6995" s="3" t="s">
        <v>13211</v>
      </c>
      <c r="C6995" s="2"/>
      <c r="D6995" s="2" t="s">
        <v>16</v>
      </c>
      <c r="E6995" s="4">
        <f>67.55*(1-Z1%)</f>
        <v>67.55</v>
      </c>
      <c r="F6995" s="2">
        <v>1</v>
      </c>
      <c r="G6995" s="2"/>
    </row>
    <row r="6996" spans="1:26" customHeight="1" ht="18" hidden="true" outlineLevel="3">
      <c r="A6996" s="2" t="s">
        <v>13212</v>
      </c>
      <c r="B6996" s="3" t="s">
        <v>13213</v>
      </c>
      <c r="C6996" s="2"/>
      <c r="D6996" s="2" t="s">
        <v>16</v>
      </c>
      <c r="E6996" s="4">
        <f>14.52*(1-Z1%)</f>
        <v>14.52</v>
      </c>
      <c r="F6996" s="2">
        <v>8</v>
      </c>
      <c r="G6996" s="2"/>
    </row>
    <row r="6997" spans="1:26" customHeight="1" ht="18" hidden="true" outlineLevel="3">
      <c r="A6997" s="2" t="s">
        <v>13214</v>
      </c>
      <c r="B6997" s="3" t="s">
        <v>13215</v>
      </c>
      <c r="C6997" s="2"/>
      <c r="D6997" s="2" t="s">
        <v>16</v>
      </c>
      <c r="E6997" s="4">
        <f>12.99*(1-Z1%)</f>
        <v>12.99</v>
      </c>
      <c r="F6997" s="2">
        <v>2</v>
      </c>
      <c r="G6997" s="2"/>
    </row>
    <row r="6998" spans="1:26" customHeight="1" ht="18" hidden="true" outlineLevel="3">
      <c r="A6998" s="2" t="s">
        <v>13216</v>
      </c>
      <c r="B6998" s="3" t="s">
        <v>13217</v>
      </c>
      <c r="C6998" s="2"/>
      <c r="D6998" s="2" t="s">
        <v>16</v>
      </c>
      <c r="E6998" s="4">
        <f>23.34*(1-Z1%)</f>
        <v>23.34</v>
      </c>
      <c r="F6998" s="2">
        <v>9</v>
      </c>
      <c r="G6998" s="2"/>
    </row>
    <row r="6999" spans="1:26" customHeight="1" ht="18" hidden="true" outlineLevel="3">
      <c r="A6999" s="2" t="s">
        <v>13218</v>
      </c>
      <c r="B6999" s="3" t="s">
        <v>13219</v>
      </c>
      <c r="C6999" s="2"/>
      <c r="D6999" s="2" t="s">
        <v>16</v>
      </c>
      <c r="E6999" s="4">
        <f>11.26*(1-Z1%)</f>
        <v>11.26</v>
      </c>
      <c r="F6999" s="2">
        <v>2</v>
      </c>
      <c r="G6999" s="2"/>
    </row>
    <row r="7000" spans="1:26" customHeight="1" ht="18" hidden="true" outlineLevel="3">
      <c r="A7000" s="2" t="s">
        <v>13220</v>
      </c>
      <c r="B7000" s="3" t="s">
        <v>13221</v>
      </c>
      <c r="C7000" s="2"/>
      <c r="D7000" s="2" t="s">
        <v>16</v>
      </c>
      <c r="E7000" s="4">
        <f>35.47*(1-Z1%)</f>
        <v>35.47</v>
      </c>
      <c r="F7000" s="2">
        <v>10</v>
      </c>
      <c r="G7000" s="2"/>
    </row>
    <row r="7001" spans="1:26" customHeight="1" ht="36" hidden="true" outlineLevel="3">
      <c r="A7001" s="2" t="s">
        <v>13222</v>
      </c>
      <c r="B7001" s="3" t="s">
        <v>13223</v>
      </c>
      <c r="C7001" s="2"/>
      <c r="D7001" s="2" t="s">
        <v>16</v>
      </c>
      <c r="E7001" s="4">
        <f>14.03*(1-Z1%)</f>
        <v>14.03</v>
      </c>
      <c r="F7001" s="2">
        <v>2</v>
      </c>
      <c r="G7001" s="2"/>
    </row>
    <row r="7002" spans="1:26" customHeight="1" ht="36" hidden="true" outlineLevel="3">
      <c r="A7002" s="2" t="s">
        <v>13224</v>
      </c>
      <c r="B7002" s="3" t="s">
        <v>13225</v>
      </c>
      <c r="C7002" s="2"/>
      <c r="D7002" s="2" t="s">
        <v>16</v>
      </c>
      <c r="E7002" s="4">
        <f>36.32*(1-Z1%)</f>
        <v>36.32</v>
      </c>
      <c r="F7002" s="2">
        <v>19</v>
      </c>
      <c r="G7002" s="2"/>
    </row>
    <row r="7003" spans="1:26" customHeight="1" ht="18" hidden="true" outlineLevel="3">
      <c r="A7003" s="2" t="s">
        <v>13226</v>
      </c>
      <c r="B7003" s="3" t="s">
        <v>13227</v>
      </c>
      <c r="C7003" s="2"/>
      <c r="D7003" s="2" t="s">
        <v>16</v>
      </c>
      <c r="E7003" s="4">
        <f>30.94*(1-Z1%)</f>
        <v>30.94</v>
      </c>
      <c r="F7003" s="2">
        <v>100</v>
      </c>
      <c r="G7003" s="2"/>
    </row>
    <row r="7004" spans="1:26" customHeight="1" ht="18" hidden="true" outlineLevel="3">
      <c r="A7004" s="2" t="s">
        <v>13228</v>
      </c>
      <c r="B7004" s="3" t="s">
        <v>13229</v>
      </c>
      <c r="C7004" s="2"/>
      <c r="D7004" s="2" t="s">
        <v>16</v>
      </c>
      <c r="E7004" s="4">
        <f>34.65*(1-Z1%)</f>
        <v>34.65</v>
      </c>
      <c r="F7004" s="2">
        <v>15</v>
      </c>
      <c r="G7004" s="2"/>
    </row>
    <row r="7005" spans="1:26" customHeight="1" ht="35" hidden="true" outlineLevel="3">
      <c r="A7005" s="5" t="s">
        <v>13230</v>
      </c>
      <c r="B7005" s="5"/>
      <c r="C7005" s="5"/>
      <c r="D7005" s="5"/>
      <c r="E7005" s="5"/>
      <c r="F7005" s="5"/>
      <c r="G7005" s="5"/>
    </row>
    <row r="7006" spans="1:26" customHeight="1" ht="18" hidden="true" outlineLevel="3">
      <c r="A7006" s="2" t="s">
        <v>13231</v>
      </c>
      <c r="B7006" s="3" t="s">
        <v>13232</v>
      </c>
      <c r="C7006" s="2"/>
      <c r="D7006" s="2" t="s">
        <v>16</v>
      </c>
      <c r="E7006" s="4">
        <f>102.62*(1-Z1%)</f>
        <v>102.62</v>
      </c>
      <c r="F7006" s="2">
        <v>7</v>
      </c>
      <c r="G7006" s="2"/>
    </row>
    <row r="7007" spans="1:26" customHeight="1" ht="18" hidden="true" outlineLevel="3">
      <c r="A7007" s="2" t="s">
        <v>13233</v>
      </c>
      <c r="B7007" s="3" t="s">
        <v>13234</v>
      </c>
      <c r="C7007" s="2"/>
      <c r="D7007" s="2" t="s">
        <v>16</v>
      </c>
      <c r="E7007" s="4">
        <f>102.62*(1-Z1%)</f>
        <v>102.62</v>
      </c>
      <c r="F7007" s="2">
        <v>7</v>
      </c>
      <c r="G7007" s="2"/>
    </row>
    <row r="7008" spans="1:26" customHeight="1" ht="36" hidden="true" outlineLevel="3">
      <c r="A7008" s="2" t="s">
        <v>13235</v>
      </c>
      <c r="B7008" s="3" t="s">
        <v>13236</v>
      </c>
      <c r="C7008" s="2"/>
      <c r="D7008" s="2" t="s">
        <v>16</v>
      </c>
      <c r="E7008" s="4">
        <f>34.92*(1-Z1%)</f>
        <v>34.92</v>
      </c>
      <c r="F7008" s="2">
        <v>5</v>
      </c>
      <c r="G7008" s="2"/>
    </row>
    <row r="7009" spans="1:26" customHeight="1" ht="36" hidden="true" outlineLevel="3">
      <c r="A7009" s="2" t="s">
        <v>13237</v>
      </c>
      <c r="B7009" s="3" t="s">
        <v>13238</v>
      </c>
      <c r="C7009" s="2"/>
      <c r="D7009" s="2" t="s">
        <v>16</v>
      </c>
      <c r="E7009" s="4">
        <f>44.65*(1-Z1%)</f>
        <v>44.65</v>
      </c>
      <c r="F7009" s="2">
        <v>5</v>
      </c>
      <c r="G7009" s="2"/>
    </row>
    <row r="7010" spans="1:26" customHeight="1" ht="36" hidden="true" outlineLevel="3">
      <c r="A7010" s="2" t="s">
        <v>13239</v>
      </c>
      <c r="B7010" s="3" t="s">
        <v>13240</v>
      </c>
      <c r="C7010" s="2"/>
      <c r="D7010" s="2" t="s">
        <v>16</v>
      </c>
      <c r="E7010" s="4">
        <f>53.97*(1-Z1%)</f>
        <v>53.97</v>
      </c>
      <c r="F7010" s="2">
        <v>5</v>
      </c>
      <c r="G7010" s="2"/>
    </row>
    <row r="7011" spans="1:26" customHeight="1" ht="36" hidden="true" outlineLevel="3">
      <c r="A7011" s="2" t="s">
        <v>13241</v>
      </c>
      <c r="B7011" s="3" t="s">
        <v>13242</v>
      </c>
      <c r="C7011" s="2"/>
      <c r="D7011" s="2" t="s">
        <v>16</v>
      </c>
      <c r="E7011" s="4">
        <f>59.85*(1-Z1%)</f>
        <v>59.85</v>
      </c>
      <c r="F7011" s="2">
        <v>5</v>
      </c>
      <c r="G7011" s="2"/>
    </row>
    <row r="7012" spans="1:26" customHeight="1" ht="36" hidden="true" outlineLevel="3">
      <c r="A7012" s="2" t="s">
        <v>13243</v>
      </c>
      <c r="B7012" s="3" t="s">
        <v>13244</v>
      </c>
      <c r="C7012" s="2"/>
      <c r="D7012" s="2" t="s">
        <v>16</v>
      </c>
      <c r="E7012" s="4">
        <f>92.44*(1-Z1%)</f>
        <v>92.44</v>
      </c>
      <c r="F7012" s="2">
        <v>5</v>
      </c>
      <c r="G7012" s="2"/>
    </row>
    <row r="7013" spans="1:26" customHeight="1" ht="36" hidden="true" outlineLevel="3">
      <c r="A7013" s="2" t="s">
        <v>13245</v>
      </c>
      <c r="B7013" s="3" t="s">
        <v>13246</v>
      </c>
      <c r="C7013" s="2"/>
      <c r="D7013" s="2" t="s">
        <v>16</v>
      </c>
      <c r="E7013" s="4">
        <f>93.21*(1-Z1%)</f>
        <v>93.21</v>
      </c>
      <c r="F7013" s="2">
        <v>5</v>
      </c>
      <c r="G7013" s="2"/>
    </row>
    <row r="7014" spans="1:26" customHeight="1" ht="36" hidden="true" outlineLevel="3">
      <c r="A7014" s="2" t="s">
        <v>13247</v>
      </c>
      <c r="B7014" s="3" t="s">
        <v>13248</v>
      </c>
      <c r="C7014" s="2"/>
      <c r="D7014" s="2" t="s">
        <v>16</v>
      </c>
      <c r="E7014" s="4">
        <f>40.53*(1-Z1%)</f>
        <v>40.53</v>
      </c>
      <c r="F7014" s="2">
        <v>7</v>
      </c>
      <c r="G7014" s="2"/>
    </row>
    <row r="7015" spans="1:26" customHeight="1" ht="36" hidden="true" outlineLevel="3">
      <c r="A7015" s="2" t="s">
        <v>13249</v>
      </c>
      <c r="B7015" s="3" t="s">
        <v>13250</v>
      </c>
      <c r="C7015" s="2"/>
      <c r="D7015" s="2" t="s">
        <v>16</v>
      </c>
      <c r="E7015" s="4">
        <f>92.59*(1-Z1%)</f>
        <v>92.59</v>
      </c>
      <c r="F7015" s="2">
        <v>4</v>
      </c>
      <c r="G7015" s="2"/>
    </row>
    <row r="7016" spans="1:26" customHeight="1" ht="35" hidden="true" outlineLevel="3">
      <c r="A7016" s="5" t="s">
        <v>13251</v>
      </c>
      <c r="B7016" s="5"/>
      <c r="C7016" s="5"/>
      <c r="D7016" s="5"/>
      <c r="E7016" s="5"/>
      <c r="F7016" s="5"/>
      <c r="G7016" s="5"/>
    </row>
    <row r="7017" spans="1:26" customHeight="1" ht="36" hidden="true" outlineLevel="3">
      <c r="A7017" s="2" t="s">
        <v>13252</v>
      </c>
      <c r="B7017" s="3" t="s">
        <v>13253</v>
      </c>
      <c r="C7017" s="2"/>
      <c r="D7017" s="2" t="s">
        <v>16</v>
      </c>
      <c r="E7017" s="4">
        <f>2.23*(1-Z1%)</f>
        <v>2.23</v>
      </c>
      <c r="F7017" s="2">
        <v>200</v>
      </c>
      <c r="G7017" s="2"/>
    </row>
    <row r="7018" spans="1:26" customHeight="1" ht="36" hidden="true" outlineLevel="3">
      <c r="A7018" s="2" t="s">
        <v>13254</v>
      </c>
      <c r="B7018" s="3" t="s">
        <v>13255</v>
      </c>
      <c r="C7018" s="2"/>
      <c r="D7018" s="2" t="s">
        <v>16</v>
      </c>
      <c r="E7018" s="4">
        <f>107.66*(1-Z1%)</f>
        <v>107.66</v>
      </c>
      <c r="F7018" s="2">
        <v>10</v>
      </c>
      <c r="G7018" s="2"/>
    </row>
    <row r="7019" spans="1:26" customHeight="1" ht="18" hidden="true" outlineLevel="3">
      <c r="A7019" s="2" t="s">
        <v>13256</v>
      </c>
      <c r="B7019" s="3" t="s">
        <v>13257</v>
      </c>
      <c r="C7019" s="2"/>
      <c r="D7019" s="2" t="s">
        <v>16</v>
      </c>
      <c r="E7019" s="4">
        <f>9.77*(1-Z1%)</f>
        <v>9.77</v>
      </c>
      <c r="F7019" s="2">
        <v>51</v>
      </c>
      <c r="G7019" s="2"/>
    </row>
    <row r="7020" spans="1:26" customHeight="1" ht="18" hidden="true" outlineLevel="3">
      <c r="A7020" s="2" t="s">
        <v>13258</v>
      </c>
      <c r="B7020" s="3" t="s">
        <v>13259</v>
      </c>
      <c r="C7020" s="2"/>
      <c r="D7020" s="2" t="s">
        <v>16</v>
      </c>
      <c r="E7020" s="4">
        <f>24.26*(1-Z1%)</f>
        <v>24.26</v>
      </c>
      <c r="F7020" s="2">
        <v>45</v>
      </c>
      <c r="G7020" s="2"/>
    </row>
    <row r="7021" spans="1:26" customHeight="1" ht="18" hidden="true" outlineLevel="3">
      <c r="A7021" s="2" t="s">
        <v>13260</v>
      </c>
      <c r="B7021" s="3" t="s">
        <v>13261</v>
      </c>
      <c r="C7021" s="2"/>
      <c r="D7021" s="2" t="s">
        <v>16</v>
      </c>
      <c r="E7021" s="4">
        <f>21.78*(1-Z1%)</f>
        <v>21.78</v>
      </c>
      <c r="F7021" s="2">
        <v>45</v>
      </c>
      <c r="G7021" s="2"/>
    </row>
    <row r="7022" spans="1:26" customHeight="1" ht="35" hidden="true" outlineLevel="3">
      <c r="A7022" s="5" t="s">
        <v>13262</v>
      </c>
      <c r="B7022" s="5"/>
      <c r="C7022" s="5"/>
      <c r="D7022" s="5"/>
      <c r="E7022" s="5"/>
      <c r="F7022" s="5"/>
      <c r="G7022" s="5"/>
    </row>
    <row r="7023" spans="1:26" customHeight="1" ht="18" hidden="true" outlineLevel="3">
      <c r="A7023" s="2" t="s">
        <v>13263</v>
      </c>
      <c r="B7023" s="3" t="s">
        <v>13264</v>
      </c>
      <c r="C7023" s="2"/>
      <c r="D7023" s="2" t="s">
        <v>16</v>
      </c>
      <c r="E7023" s="4">
        <f>11.58*(1-Z1%)</f>
        <v>11.58</v>
      </c>
      <c r="F7023" s="2">
        <v>10</v>
      </c>
      <c r="G7023" s="2"/>
    </row>
    <row r="7024" spans="1:26" customHeight="1" ht="36" hidden="true" outlineLevel="3">
      <c r="A7024" s="2" t="s">
        <v>13265</v>
      </c>
      <c r="B7024" s="3" t="s">
        <v>13266</v>
      </c>
      <c r="C7024" s="2"/>
      <c r="D7024" s="2" t="s">
        <v>16</v>
      </c>
      <c r="E7024" s="4">
        <f>3.05*(1-Z1%)</f>
        <v>3.05</v>
      </c>
      <c r="F7024" s="2">
        <v>10</v>
      </c>
      <c r="G7024" s="2"/>
    </row>
    <row r="7025" spans="1:26" customHeight="1" ht="35" hidden="true" outlineLevel="3">
      <c r="A7025" s="5" t="s">
        <v>13267</v>
      </c>
      <c r="B7025" s="5"/>
      <c r="C7025" s="5"/>
      <c r="D7025" s="5"/>
      <c r="E7025" s="5"/>
      <c r="F7025" s="5"/>
      <c r="G7025" s="5"/>
    </row>
    <row r="7026" spans="1:26" customHeight="1" ht="18" hidden="true" outlineLevel="3">
      <c r="A7026" s="2" t="s">
        <v>13268</v>
      </c>
      <c r="B7026" s="3" t="s">
        <v>13269</v>
      </c>
      <c r="C7026" s="2"/>
      <c r="D7026" s="2" t="s">
        <v>16</v>
      </c>
      <c r="E7026" s="4">
        <f>18.96*(1-Z1%)</f>
        <v>18.96</v>
      </c>
      <c r="F7026" s="2">
        <v>9</v>
      </c>
      <c r="G7026" s="2"/>
    </row>
    <row r="7027" spans="1:26" customHeight="1" ht="18" hidden="true" outlineLevel="3">
      <c r="A7027" s="2" t="s">
        <v>13270</v>
      </c>
      <c r="B7027" s="3" t="s">
        <v>13271</v>
      </c>
      <c r="C7027" s="2"/>
      <c r="D7027" s="2" t="s">
        <v>16</v>
      </c>
      <c r="E7027" s="4">
        <f>29.74*(1-Z1%)</f>
        <v>29.74</v>
      </c>
      <c r="F7027" s="2">
        <v>35</v>
      </c>
      <c r="G7027" s="2"/>
    </row>
    <row r="7028" spans="1:26" customHeight="1" ht="18" hidden="true" outlineLevel="3">
      <c r="A7028" s="2" t="s">
        <v>13272</v>
      </c>
      <c r="B7028" s="3" t="s">
        <v>13273</v>
      </c>
      <c r="C7028" s="2"/>
      <c r="D7028" s="2" t="s">
        <v>16</v>
      </c>
      <c r="E7028" s="4">
        <f>20.12*(1-Z1%)</f>
        <v>20.12</v>
      </c>
      <c r="F7028" s="2">
        <v>50</v>
      </c>
      <c r="G7028" s="2"/>
    </row>
    <row r="7029" spans="1:26" customHeight="1" ht="18" hidden="true" outlineLevel="3">
      <c r="A7029" s="2" t="s">
        <v>13274</v>
      </c>
      <c r="B7029" s="3" t="s">
        <v>13275</v>
      </c>
      <c r="C7029" s="2"/>
      <c r="D7029" s="2" t="s">
        <v>16</v>
      </c>
      <c r="E7029" s="4">
        <f>7.81*(1-Z1%)</f>
        <v>7.81</v>
      </c>
      <c r="F7029" s="2">
        <v>10</v>
      </c>
      <c r="G7029" s="2"/>
    </row>
    <row r="7030" spans="1:26" customHeight="1" ht="18" hidden="true" outlineLevel="3">
      <c r="A7030" s="2" t="s">
        <v>13276</v>
      </c>
      <c r="B7030" s="3" t="s">
        <v>13275</v>
      </c>
      <c r="C7030" s="2"/>
      <c r="D7030" s="2" t="s">
        <v>16</v>
      </c>
      <c r="E7030" s="4">
        <f>7.95*(1-Z1%)</f>
        <v>7.95</v>
      </c>
      <c r="F7030" s="2">
        <v>5</v>
      </c>
      <c r="G7030" s="2"/>
    </row>
    <row r="7031" spans="1:26" customHeight="1" ht="18" hidden="true" outlineLevel="3">
      <c r="A7031" s="2" t="s">
        <v>13277</v>
      </c>
      <c r="B7031" s="3" t="s">
        <v>13278</v>
      </c>
      <c r="C7031" s="2"/>
      <c r="D7031" s="2" t="s">
        <v>16</v>
      </c>
      <c r="E7031" s="4">
        <f>11.57*(1-Z1%)</f>
        <v>11.57</v>
      </c>
      <c r="F7031" s="2">
        <v>9</v>
      </c>
      <c r="G7031" s="2"/>
    </row>
    <row r="7032" spans="1:26" customHeight="1" ht="18" hidden="true" outlineLevel="3">
      <c r="A7032" s="2" t="s">
        <v>13279</v>
      </c>
      <c r="B7032" s="3" t="s">
        <v>13280</v>
      </c>
      <c r="C7032" s="2"/>
      <c r="D7032" s="2" t="s">
        <v>16</v>
      </c>
      <c r="E7032" s="4">
        <f>11.95*(1-Z1%)</f>
        <v>11.95</v>
      </c>
      <c r="F7032" s="2">
        <v>5</v>
      </c>
      <c r="G7032" s="2"/>
    </row>
    <row r="7033" spans="1:26" customHeight="1" ht="18" hidden="true" outlineLevel="3">
      <c r="A7033" s="2" t="s">
        <v>13281</v>
      </c>
      <c r="B7033" s="3" t="s">
        <v>13280</v>
      </c>
      <c r="C7033" s="2"/>
      <c r="D7033" s="2" t="s">
        <v>16</v>
      </c>
      <c r="E7033" s="4">
        <f>11.00*(1-Z1%)</f>
        <v>11</v>
      </c>
      <c r="F7033" s="2">
        <v>5</v>
      </c>
      <c r="G7033" s="2"/>
    </row>
    <row r="7034" spans="1:26" customHeight="1" ht="35" hidden="true" outlineLevel="2">
      <c r="A7034" s="5" t="s">
        <v>13282</v>
      </c>
      <c r="B7034" s="5"/>
      <c r="C7034" s="5"/>
      <c r="D7034" s="5"/>
      <c r="E7034" s="5"/>
      <c r="F7034" s="5"/>
      <c r="G7034" s="5"/>
    </row>
    <row r="7035" spans="1:26" customHeight="1" ht="35" hidden="true" outlineLevel="3">
      <c r="A7035" s="5" t="s">
        <v>13283</v>
      </c>
      <c r="B7035" s="5"/>
      <c r="C7035" s="5"/>
      <c r="D7035" s="5"/>
      <c r="E7035" s="5"/>
      <c r="F7035" s="5"/>
      <c r="G7035" s="5"/>
    </row>
    <row r="7036" spans="1:26" customHeight="1" ht="18" hidden="true" outlineLevel="3">
      <c r="A7036" s="2" t="s">
        <v>13284</v>
      </c>
      <c r="B7036" s="3" t="s">
        <v>13285</v>
      </c>
      <c r="C7036" s="2"/>
      <c r="D7036" s="2" t="s">
        <v>16</v>
      </c>
      <c r="E7036" s="4">
        <f>100.59*(1-Z1%)</f>
        <v>100.59</v>
      </c>
      <c r="F7036" s="2">
        <v>1</v>
      </c>
      <c r="G7036" s="2"/>
    </row>
    <row r="7037" spans="1:26" customHeight="1" ht="18" hidden="true" outlineLevel="3">
      <c r="A7037" s="2" t="s">
        <v>13286</v>
      </c>
      <c r="B7037" s="3" t="s">
        <v>13287</v>
      </c>
      <c r="C7037" s="2"/>
      <c r="D7037" s="2" t="s">
        <v>16</v>
      </c>
      <c r="E7037" s="4">
        <f>93.26*(1-Z1%)</f>
        <v>93.26</v>
      </c>
      <c r="F7037" s="2">
        <v>2</v>
      </c>
      <c r="G7037" s="2"/>
    </row>
    <row r="7038" spans="1:26" customHeight="1" ht="36" hidden="true" outlineLevel="3">
      <c r="A7038" s="2" t="s">
        <v>13288</v>
      </c>
      <c r="B7038" s="3" t="s">
        <v>13289</v>
      </c>
      <c r="C7038" s="2"/>
      <c r="D7038" s="2" t="s">
        <v>16</v>
      </c>
      <c r="E7038" s="4">
        <f>89.49*(1-Z1%)</f>
        <v>89.49</v>
      </c>
      <c r="F7038" s="2">
        <v>1</v>
      </c>
      <c r="G7038" s="2"/>
    </row>
    <row r="7039" spans="1:26" customHeight="1" ht="36" hidden="true" outlineLevel="3">
      <c r="A7039" s="2" t="s">
        <v>13290</v>
      </c>
      <c r="B7039" s="3" t="s">
        <v>13291</v>
      </c>
      <c r="C7039" s="2"/>
      <c r="D7039" s="2" t="s">
        <v>16</v>
      </c>
      <c r="E7039" s="4">
        <f>93.26*(1-Z1%)</f>
        <v>93.26</v>
      </c>
      <c r="F7039" s="2">
        <v>1</v>
      </c>
      <c r="G7039" s="2"/>
    </row>
    <row r="7040" spans="1:26" customHeight="1" ht="36" hidden="true" outlineLevel="3">
      <c r="A7040" s="2" t="s">
        <v>13292</v>
      </c>
      <c r="B7040" s="3" t="s">
        <v>13293</v>
      </c>
      <c r="C7040" s="2"/>
      <c r="D7040" s="2" t="s">
        <v>16</v>
      </c>
      <c r="E7040" s="4">
        <f>93.26*(1-Z1%)</f>
        <v>93.26</v>
      </c>
      <c r="F7040" s="2">
        <v>3</v>
      </c>
      <c r="G7040" s="2"/>
    </row>
    <row r="7041" spans="1:26" customHeight="1" ht="36" hidden="true" outlineLevel="3">
      <c r="A7041" s="2" t="s">
        <v>13294</v>
      </c>
      <c r="B7041" s="3" t="s">
        <v>13295</v>
      </c>
      <c r="C7041" s="2"/>
      <c r="D7041" s="2" t="s">
        <v>16</v>
      </c>
      <c r="E7041" s="4">
        <f>93.26*(1-Z1%)</f>
        <v>93.26</v>
      </c>
      <c r="F7041" s="2">
        <v>3</v>
      </c>
      <c r="G7041" s="2"/>
    </row>
    <row r="7042" spans="1:26" customHeight="1" ht="18" hidden="true" outlineLevel="3">
      <c r="A7042" s="2" t="s">
        <v>13296</v>
      </c>
      <c r="B7042" s="3" t="s">
        <v>13297</v>
      </c>
      <c r="C7042" s="2"/>
      <c r="D7042" s="2" t="s">
        <v>16</v>
      </c>
      <c r="E7042" s="4">
        <f>93.98*(1-Z1%)</f>
        <v>93.98</v>
      </c>
      <c r="F7042" s="2">
        <v>2</v>
      </c>
      <c r="G7042" s="2"/>
    </row>
    <row r="7043" spans="1:26" customHeight="1" ht="35" hidden="true" outlineLevel="2">
      <c r="A7043" s="5" t="s">
        <v>13298</v>
      </c>
      <c r="B7043" s="5"/>
      <c r="C7043" s="5"/>
      <c r="D7043" s="5"/>
      <c r="E7043" s="5"/>
      <c r="F7043" s="5"/>
      <c r="G7043" s="5"/>
    </row>
    <row r="7044" spans="1:26" customHeight="1" ht="35" hidden="true" outlineLevel="3">
      <c r="A7044" s="5" t="s">
        <v>13299</v>
      </c>
      <c r="B7044" s="5"/>
      <c r="C7044" s="5"/>
      <c r="D7044" s="5"/>
      <c r="E7044" s="5"/>
      <c r="F7044" s="5"/>
      <c r="G7044" s="5"/>
    </row>
    <row r="7045" spans="1:26" customHeight="1" ht="36" hidden="true" outlineLevel="3">
      <c r="A7045" s="2" t="s">
        <v>13300</v>
      </c>
      <c r="B7045" s="3" t="s">
        <v>13301</v>
      </c>
      <c r="C7045" s="2"/>
      <c r="D7045" s="2" t="s">
        <v>16</v>
      </c>
      <c r="E7045" s="4">
        <f>123.75*(1-Z1%)</f>
        <v>123.75</v>
      </c>
      <c r="F7045" s="2">
        <v>4</v>
      </c>
      <c r="G7045" s="2"/>
    </row>
    <row r="7046" spans="1:26" customHeight="1" ht="36" hidden="true" outlineLevel="3">
      <c r="A7046" s="2" t="s">
        <v>13302</v>
      </c>
      <c r="B7046" s="3" t="s">
        <v>13303</v>
      </c>
      <c r="C7046" s="2"/>
      <c r="D7046" s="2" t="s">
        <v>16</v>
      </c>
      <c r="E7046" s="4">
        <f>185.63*(1-Z1%)</f>
        <v>185.63</v>
      </c>
      <c r="F7046" s="2">
        <v>5</v>
      </c>
      <c r="G7046" s="2"/>
    </row>
    <row r="7047" spans="1:26" customHeight="1" ht="36" hidden="true" outlineLevel="3">
      <c r="A7047" s="2" t="s">
        <v>13304</v>
      </c>
      <c r="B7047" s="3" t="s">
        <v>13305</v>
      </c>
      <c r="C7047" s="2"/>
      <c r="D7047" s="2" t="s">
        <v>16</v>
      </c>
      <c r="E7047" s="4">
        <f>123.75*(1-Z1%)</f>
        <v>123.75</v>
      </c>
      <c r="F7047" s="2">
        <v>7</v>
      </c>
      <c r="G7047" s="2"/>
    </row>
    <row r="7048" spans="1:26" customHeight="1" ht="36" hidden="true" outlineLevel="3">
      <c r="A7048" s="2" t="s">
        <v>13306</v>
      </c>
      <c r="B7048" s="3" t="s">
        <v>13307</v>
      </c>
      <c r="C7048" s="2"/>
      <c r="D7048" s="2" t="s">
        <v>16</v>
      </c>
      <c r="E7048" s="4">
        <f>185.63*(1-Z1%)</f>
        <v>185.63</v>
      </c>
      <c r="F7048" s="2">
        <v>6</v>
      </c>
      <c r="G7048" s="2"/>
    </row>
    <row r="7049" spans="1:26" customHeight="1" ht="35" hidden="true" outlineLevel="3">
      <c r="A7049" s="5" t="s">
        <v>13308</v>
      </c>
      <c r="B7049" s="5"/>
      <c r="C7049" s="5"/>
      <c r="D7049" s="5"/>
      <c r="E7049" s="5"/>
      <c r="F7049" s="5"/>
      <c r="G7049" s="5"/>
    </row>
    <row r="7050" spans="1:26" customHeight="1" ht="18" hidden="true" outlineLevel="3">
      <c r="A7050" s="2" t="s">
        <v>13309</v>
      </c>
      <c r="B7050" s="3" t="s">
        <v>13310</v>
      </c>
      <c r="C7050" s="2"/>
      <c r="D7050" s="2" t="s">
        <v>16</v>
      </c>
      <c r="E7050" s="4">
        <f>33.83*(1-Z1%)</f>
        <v>33.83</v>
      </c>
      <c r="F7050" s="2">
        <v>3</v>
      </c>
      <c r="G7050" s="2"/>
    </row>
    <row r="7051" spans="1:26" customHeight="1" ht="18" hidden="true" outlineLevel="3">
      <c r="A7051" s="2" t="s">
        <v>13311</v>
      </c>
      <c r="B7051" s="3" t="s">
        <v>13312</v>
      </c>
      <c r="C7051" s="2"/>
      <c r="D7051" s="2" t="s">
        <v>16</v>
      </c>
      <c r="E7051" s="4">
        <f>35.06*(1-Z1%)</f>
        <v>35.06</v>
      </c>
      <c r="F7051" s="2">
        <v>1</v>
      </c>
      <c r="G7051" s="2"/>
    </row>
    <row r="7052" spans="1:26" customHeight="1" ht="18" hidden="true" outlineLevel="3">
      <c r="A7052" s="2" t="s">
        <v>13313</v>
      </c>
      <c r="B7052" s="3" t="s">
        <v>13314</v>
      </c>
      <c r="C7052" s="2"/>
      <c r="D7052" s="2" t="s">
        <v>16</v>
      </c>
      <c r="E7052" s="4">
        <f>40.52*(1-Z1%)</f>
        <v>40.52</v>
      </c>
      <c r="F7052" s="2">
        <v>1</v>
      </c>
      <c r="G7052" s="2"/>
    </row>
    <row r="7053" spans="1:26" customHeight="1" ht="18" hidden="true" outlineLevel="3">
      <c r="A7053" s="2" t="s">
        <v>13315</v>
      </c>
      <c r="B7053" s="3" t="s">
        <v>13316</v>
      </c>
      <c r="C7053" s="2"/>
      <c r="D7053" s="2" t="s">
        <v>16</v>
      </c>
      <c r="E7053" s="4">
        <f>33.83*(1-Z1%)</f>
        <v>33.83</v>
      </c>
      <c r="F7053" s="2">
        <v>2</v>
      </c>
      <c r="G7053" s="2"/>
    </row>
    <row r="7054" spans="1:26" customHeight="1" ht="18" hidden="true" outlineLevel="3">
      <c r="A7054" s="2" t="s">
        <v>13317</v>
      </c>
      <c r="B7054" s="3" t="s">
        <v>13318</v>
      </c>
      <c r="C7054" s="2"/>
      <c r="D7054" s="2" t="s">
        <v>16</v>
      </c>
      <c r="E7054" s="4">
        <f>101.37*(1-Z1%)</f>
        <v>101.37</v>
      </c>
      <c r="F7054" s="2">
        <v>7</v>
      </c>
      <c r="G7054" s="2"/>
    </row>
    <row r="7055" spans="1:26" customHeight="1" ht="18" hidden="true" outlineLevel="3">
      <c r="A7055" s="2" t="s">
        <v>13319</v>
      </c>
      <c r="B7055" s="3" t="s">
        <v>13320</v>
      </c>
      <c r="C7055" s="2"/>
      <c r="D7055" s="2" t="s">
        <v>16</v>
      </c>
      <c r="E7055" s="4">
        <f>93.56*(1-Z1%)</f>
        <v>93.56</v>
      </c>
      <c r="F7055" s="2">
        <v>1</v>
      </c>
      <c r="G7055" s="2"/>
    </row>
    <row r="7056" spans="1:26" customHeight="1" ht="18" hidden="true" outlineLevel="3">
      <c r="A7056" s="2" t="s">
        <v>13321</v>
      </c>
      <c r="B7056" s="3" t="s">
        <v>13322</v>
      </c>
      <c r="C7056" s="2"/>
      <c r="D7056" s="2" t="s">
        <v>16</v>
      </c>
      <c r="E7056" s="4">
        <f>96.03*(1-Z1%)</f>
        <v>96.03</v>
      </c>
      <c r="F7056" s="2">
        <v>8</v>
      </c>
      <c r="G7056" s="2"/>
    </row>
    <row r="7057" spans="1:26" customHeight="1" ht="18" hidden="true" outlineLevel="3">
      <c r="A7057" s="2" t="s">
        <v>13323</v>
      </c>
      <c r="B7057" s="3" t="s">
        <v>13324</v>
      </c>
      <c r="C7057" s="2"/>
      <c r="D7057" s="2" t="s">
        <v>16</v>
      </c>
      <c r="E7057" s="4">
        <f>75.07*(1-Z1%)</f>
        <v>75.07</v>
      </c>
      <c r="F7057" s="2">
        <v>7</v>
      </c>
      <c r="G7057" s="2"/>
    </row>
    <row r="7058" spans="1:26" customHeight="1" ht="18" hidden="true" outlineLevel="3">
      <c r="A7058" s="2" t="s">
        <v>13325</v>
      </c>
      <c r="B7058" s="3" t="s">
        <v>13326</v>
      </c>
      <c r="C7058" s="2"/>
      <c r="D7058" s="2" t="s">
        <v>16</v>
      </c>
      <c r="E7058" s="4">
        <f>173.97*(1-Z1%)</f>
        <v>173.97</v>
      </c>
      <c r="F7058" s="2">
        <v>2</v>
      </c>
      <c r="G7058" s="2"/>
    </row>
    <row r="7059" spans="1:26" customHeight="1" ht="18" hidden="true" outlineLevel="3">
      <c r="A7059" s="2" t="s">
        <v>13327</v>
      </c>
      <c r="B7059" s="3" t="s">
        <v>13328</v>
      </c>
      <c r="C7059" s="2"/>
      <c r="D7059" s="2" t="s">
        <v>16</v>
      </c>
      <c r="E7059" s="4">
        <f>208.16*(1-Z1%)</f>
        <v>208.16</v>
      </c>
      <c r="F7059" s="2">
        <v>3</v>
      </c>
      <c r="G7059" s="2"/>
    </row>
    <row r="7060" spans="1:26" customHeight="1" ht="18" hidden="true" outlineLevel="3">
      <c r="A7060" s="2" t="s">
        <v>13329</v>
      </c>
      <c r="B7060" s="3" t="s">
        <v>13330</v>
      </c>
      <c r="C7060" s="2"/>
      <c r="D7060" s="2" t="s">
        <v>16</v>
      </c>
      <c r="E7060" s="4">
        <f>322.56*(1-Z1%)</f>
        <v>322.56</v>
      </c>
      <c r="F7060" s="2">
        <v>5</v>
      </c>
      <c r="G7060" s="2"/>
    </row>
    <row r="7061" spans="1:26" customHeight="1" ht="18" hidden="true" outlineLevel="3">
      <c r="A7061" s="2" t="s">
        <v>13331</v>
      </c>
      <c r="B7061" s="3" t="s">
        <v>13332</v>
      </c>
      <c r="C7061" s="2"/>
      <c r="D7061" s="2" t="s">
        <v>16</v>
      </c>
      <c r="E7061" s="4">
        <f>374.13*(1-Z1%)</f>
        <v>374.13</v>
      </c>
      <c r="F7061" s="2">
        <v>5</v>
      </c>
      <c r="G7061" s="2"/>
    </row>
    <row r="7062" spans="1:26" customHeight="1" ht="35">
      <c r="A7062" s="1" t="s">
        <v>13333</v>
      </c>
      <c r="B7062" s="1"/>
      <c r="C7062" s="1"/>
      <c r="D7062" s="1"/>
      <c r="E7062" s="1"/>
      <c r="F7062" s="1"/>
      <c r="G7062" s="1"/>
    </row>
    <row r="7063" spans="1:26" customHeight="1" ht="35" hidden="true" outlineLevel="2">
      <c r="A7063" s="5" t="s">
        <v>13334</v>
      </c>
      <c r="B7063" s="5"/>
      <c r="C7063" s="5"/>
      <c r="D7063" s="5"/>
      <c r="E7063" s="5"/>
      <c r="F7063" s="5"/>
      <c r="G7063" s="5"/>
    </row>
    <row r="7064" spans="1:26" customHeight="1" ht="18" hidden="true" outlineLevel="2">
      <c r="A7064" s="2" t="s">
        <v>13335</v>
      </c>
      <c r="B7064" s="3" t="s">
        <v>13336</v>
      </c>
      <c r="C7064" s="2"/>
      <c r="D7064" s="2" t="s">
        <v>16</v>
      </c>
      <c r="E7064" s="4">
        <f>517.28*(1-Z1%)</f>
        <v>517.28</v>
      </c>
      <c r="F7064" s="2">
        <v>2</v>
      </c>
      <c r="G7064" s="2"/>
    </row>
    <row r="7065" spans="1:26" customHeight="1" ht="18" hidden="true" outlineLevel="2">
      <c r="A7065" s="2" t="s">
        <v>13337</v>
      </c>
      <c r="B7065" s="3" t="s">
        <v>13338</v>
      </c>
      <c r="C7065" s="2"/>
      <c r="D7065" s="2" t="s">
        <v>16</v>
      </c>
      <c r="E7065" s="4">
        <f>405.33*(1-Z1%)</f>
        <v>405.33</v>
      </c>
      <c r="F7065" s="2">
        <v>1</v>
      </c>
      <c r="G7065" s="2"/>
    </row>
    <row r="7066" spans="1:26" customHeight="1" ht="18" hidden="true" outlineLevel="2">
      <c r="A7066" s="2" t="s">
        <v>13339</v>
      </c>
      <c r="B7066" s="3" t="s">
        <v>13340</v>
      </c>
      <c r="C7066" s="2"/>
      <c r="D7066" s="2" t="s">
        <v>16</v>
      </c>
      <c r="E7066" s="4">
        <f>544.31*(1-Z1%)</f>
        <v>544.31</v>
      </c>
      <c r="F7066" s="2">
        <v>1</v>
      </c>
      <c r="G7066" s="2"/>
    </row>
    <row r="7067" spans="1:26" customHeight="1" ht="36" hidden="true" outlineLevel="2">
      <c r="A7067" s="2" t="s">
        <v>13341</v>
      </c>
      <c r="B7067" s="3" t="s">
        <v>13342</v>
      </c>
      <c r="C7067" s="2"/>
      <c r="D7067" s="2" t="s">
        <v>16</v>
      </c>
      <c r="E7067" s="4">
        <f>417.35*(1-Z1%)</f>
        <v>417.35</v>
      </c>
      <c r="F7067" s="2">
        <v>3</v>
      </c>
      <c r="G7067" s="2"/>
    </row>
    <row r="7068" spans="1:26" customHeight="1" ht="18" hidden="true" outlineLevel="2">
      <c r="A7068" s="2" t="s">
        <v>13343</v>
      </c>
      <c r="B7068" s="3" t="s">
        <v>13344</v>
      </c>
      <c r="C7068" s="2"/>
      <c r="D7068" s="2" t="s">
        <v>16</v>
      </c>
      <c r="E7068" s="4">
        <f>781.79*(1-Z1%)</f>
        <v>781.79</v>
      </c>
      <c r="F7068" s="2">
        <v>1</v>
      </c>
      <c r="G7068" s="2"/>
    </row>
    <row r="7069" spans="1:26" customHeight="1" ht="18" hidden="true" outlineLevel="2">
      <c r="A7069" s="2" t="s">
        <v>13345</v>
      </c>
      <c r="B7069" s="3" t="s">
        <v>13346</v>
      </c>
      <c r="C7069" s="2"/>
      <c r="D7069" s="2" t="s">
        <v>16</v>
      </c>
      <c r="E7069" s="4">
        <f>624.16*(1-Z1%)</f>
        <v>624.16</v>
      </c>
      <c r="F7069" s="2">
        <v>2</v>
      </c>
      <c r="G7069" s="2"/>
    </row>
    <row r="7070" spans="1:26" customHeight="1" ht="18" hidden="true" outlineLevel="2">
      <c r="A7070" s="2" t="s">
        <v>13347</v>
      </c>
      <c r="B7070" s="3" t="s">
        <v>13348</v>
      </c>
      <c r="C7070" s="2"/>
      <c r="D7070" s="2" t="s">
        <v>16</v>
      </c>
      <c r="E7070" s="4">
        <f>559.74*(1-Z1%)</f>
        <v>559.74</v>
      </c>
      <c r="F7070" s="2">
        <v>3</v>
      </c>
      <c r="G7070" s="2"/>
    </row>
    <row r="7071" spans="1:26" customHeight="1" ht="18" hidden="true" outlineLevel="2">
      <c r="A7071" s="2" t="s">
        <v>13349</v>
      </c>
      <c r="B7071" s="3" t="s">
        <v>13350</v>
      </c>
      <c r="C7071" s="2"/>
      <c r="D7071" s="2" t="s">
        <v>16</v>
      </c>
      <c r="E7071" s="4">
        <f>665.89*(1-Z1%)</f>
        <v>665.89</v>
      </c>
      <c r="F7071" s="2">
        <v>1</v>
      </c>
      <c r="G7071" s="2"/>
    </row>
    <row r="7072" spans="1:26" customHeight="1" ht="18" hidden="true" outlineLevel="2">
      <c r="A7072" s="2" t="s">
        <v>13351</v>
      </c>
      <c r="B7072" s="3" t="s">
        <v>13352</v>
      </c>
      <c r="C7072" s="2"/>
      <c r="D7072" s="2" t="s">
        <v>16</v>
      </c>
      <c r="E7072" s="4">
        <f>693.16*(1-Z1%)</f>
        <v>693.16</v>
      </c>
      <c r="F7072" s="2">
        <v>1</v>
      </c>
      <c r="G7072" s="2"/>
    </row>
    <row r="7073" spans="1:26" customHeight="1" ht="18" hidden="true" outlineLevel="2">
      <c r="A7073" s="2" t="s">
        <v>13353</v>
      </c>
      <c r="B7073" s="3" t="s">
        <v>13354</v>
      </c>
      <c r="C7073" s="2"/>
      <c r="D7073" s="2" t="s">
        <v>16</v>
      </c>
      <c r="E7073" s="4">
        <f>708.69*(1-Z1%)</f>
        <v>708.69</v>
      </c>
      <c r="F7073" s="2">
        <v>2</v>
      </c>
      <c r="G7073" s="2"/>
    </row>
    <row r="7074" spans="1:26" customHeight="1" ht="18" hidden="true" outlineLevel="2">
      <c r="A7074" s="2" t="s">
        <v>13355</v>
      </c>
      <c r="B7074" s="3" t="s">
        <v>13356</v>
      </c>
      <c r="C7074" s="2"/>
      <c r="D7074" s="2" t="s">
        <v>16</v>
      </c>
      <c r="E7074" s="4">
        <f>774.59*(1-Z1%)</f>
        <v>774.59</v>
      </c>
      <c r="F7074" s="2">
        <v>2</v>
      </c>
      <c r="G7074" s="2"/>
    </row>
    <row r="7075" spans="1:26" customHeight="1" ht="18" hidden="true" outlineLevel="2">
      <c r="A7075" s="2" t="s">
        <v>13357</v>
      </c>
      <c r="B7075" s="3" t="s">
        <v>13358</v>
      </c>
      <c r="C7075" s="2"/>
      <c r="D7075" s="2" t="s">
        <v>16</v>
      </c>
      <c r="E7075" s="4">
        <f>59.96*(1-Z1%)</f>
        <v>59.96</v>
      </c>
      <c r="F7075" s="2">
        <v>1</v>
      </c>
      <c r="G7075" s="2"/>
    </row>
    <row r="7076" spans="1:26" customHeight="1" ht="18" hidden="true" outlineLevel="2">
      <c r="A7076" s="2" t="s">
        <v>13359</v>
      </c>
      <c r="B7076" s="3" t="s">
        <v>13360</v>
      </c>
      <c r="C7076" s="2"/>
      <c r="D7076" s="2" t="s">
        <v>16</v>
      </c>
      <c r="E7076" s="4">
        <f>137.00*(1-Z1%)</f>
        <v>137</v>
      </c>
      <c r="F7076" s="2">
        <v>1</v>
      </c>
      <c r="G7076" s="2"/>
    </row>
    <row r="7077" spans="1:26" customHeight="1" ht="35" hidden="true" outlineLevel="2">
      <c r="A7077" s="5" t="s">
        <v>13361</v>
      </c>
      <c r="B7077" s="5"/>
      <c r="C7077" s="5"/>
      <c r="D7077" s="5"/>
      <c r="E7077" s="5"/>
      <c r="F7077" s="5"/>
      <c r="G7077" s="5"/>
    </row>
    <row r="7078" spans="1:26" customHeight="1" ht="35" hidden="true" outlineLevel="3">
      <c r="A7078" s="5" t="s">
        <v>13362</v>
      </c>
      <c r="B7078" s="5"/>
      <c r="C7078" s="5"/>
      <c r="D7078" s="5"/>
      <c r="E7078" s="5"/>
      <c r="F7078" s="5"/>
      <c r="G7078" s="5"/>
    </row>
    <row r="7079" spans="1:26" customHeight="1" ht="18" hidden="true" outlineLevel="3">
      <c r="A7079" s="2" t="s">
        <v>13363</v>
      </c>
      <c r="B7079" s="3" t="s">
        <v>13364</v>
      </c>
      <c r="C7079" s="2"/>
      <c r="D7079" s="2" t="s">
        <v>16</v>
      </c>
      <c r="E7079" s="4">
        <f>47.19*(1-Z1%)</f>
        <v>47.19</v>
      </c>
      <c r="F7079" s="2">
        <v>22</v>
      </c>
      <c r="G7079" s="2"/>
    </row>
    <row r="7080" spans="1:26" customHeight="1" ht="18" hidden="true" outlineLevel="3">
      <c r="A7080" s="2" t="s">
        <v>13365</v>
      </c>
      <c r="B7080" s="3" t="s">
        <v>13366</v>
      </c>
      <c r="C7080" s="2"/>
      <c r="D7080" s="2" t="s">
        <v>16</v>
      </c>
      <c r="E7080" s="4">
        <f>47.55*(1-Z1%)</f>
        <v>47.55</v>
      </c>
      <c r="F7080" s="2">
        <v>8</v>
      </c>
      <c r="G7080" s="2"/>
    </row>
    <row r="7081" spans="1:26" customHeight="1" ht="18" hidden="true" outlineLevel="3">
      <c r="A7081" s="2" t="s">
        <v>13367</v>
      </c>
      <c r="B7081" s="3" t="s">
        <v>13368</v>
      </c>
      <c r="C7081" s="2"/>
      <c r="D7081" s="2" t="s">
        <v>16</v>
      </c>
      <c r="E7081" s="4">
        <f>23.89*(1-Z1%)</f>
        <v>23.89</v>
      </c>
      <c r="F7081" s="2">
        <v>11</v>
      </c>
      <c r="G7081" s="2"/>
    </row>
    <row r="7082" spans="1:26" customHeight="1" ht="18" hidden="true" outlineLevel="3">
      <c r="A7082" s="2" t="s">
        <v>13369</v>
      </c>
      <c r="B7082" s="3" t="s">
        <v>13370</v>
      </c>
      <c r="C7082" s="2"/>
      <c r="D7082" s="2" t="s">
        <v>16</v>
      </c>
      <c r="E7082" s="4">
        <f>29.46*(1-Z1%)</f>
        <v>29.46</v>
      </c>
      <c r="F7082" s="2">
        <v>11</v>
      </c>
      <c r="G7082" s="2"/>
    </row>
    <row r="7083" spans="1:26" customHeight="1" ht="18" hidden="true" outlineLevel="3">
      <c r="A7083" s="2" t="s">
        <v>13371</v>
      </c>
      <c r="B7083" s="3" t="s">
        <v>13372</v>
      </c>
      <c r="C7083" s="2"/>
      <c r="D7083" s="2" t="s">
        <v>16</v>
      </c>
      <c r="E7083" s="4">
        <f>44.06*(1-Z1%)</f>
        <v>44.06</v>
      </c>
      <c r="F7083" s="2">
        <v>17</v>
      </c>
      <c r="G7083" s="2"/>
    </row>
    <row r="7084" spans="1:26" customHeight="1" ht="18" hidden="true" outlineLevel="3">
      <c r="A7084" s="2" t="s">
        <v>13373</v>
      </c>
      <c r="B7084" s="3" t="s">
        <v>13374</v>
      </c>
      <c r="C7084" s="2"/>
      <c r="D7084" s="2" t="s">
        <v>16</v>
      </c>
      <c r="E7084" s="4">
        <f>47.65*(1-Z1%)</f>
        <v>47.65</v>
      </c>
      <c r="F7084" s="2">
        <v>21</v>
      </c>
      <c r="G7084" s="2"/>
    </row>
    <row r="7085" spans="1:26" customHeight="1" ht="36" hidden="true" outlineLevel="3">
      <c r="A7085" s="2" t="s">
        <v>13375</v>
      </c>
      <c r="B7085" s="3" t="s">
        <v>13376</v>
      </c>
      <c r="C7085" s="2"/>
      <c r="D7085" s="2" t="s">
        <v>16</v>
      </c>
      <c r="E7085" s="4">
        <f>32.50*(1-Z1%)</f>
        <v>32.5</v>
      </c>
      <c r="F7085" s="2">
        <v>27</v>
      </c>
      <c r="G7085" s="2"/>
    </row>
    <row r="7086" spans="1:26" customHeight="1" ht="18" hidden="true" outlineLevel="3">
      <c r="A7086" s="2" t="s">
        <v>13377</v>
      </c>
      <c r="B7086" s="3" t="s">
        <v>13378</v>
      </c>
      <c r="C7086" s="2"/>
      <c r="D7086" s="2" t="s">
        <v>16</v>
      </c>
      <c r="E7086" s="4">
        <f>74.93*(1-Z1%)</f>
        <v>74.93</v>
      </c>
      <c r="F7086" s="2">
        <v>14</v>
      </c>
      <c r="G7086" s="2"/>
    </row>
    <row r="7087" spans="1:26" customHeight="1" ht="36" hidden="true" outlineLevel="3">
      <c r="A7087" s="2" t="s">
        <v>13379</v>
      </c>
      <c r="B7087" s="3" t="s">
        <v>13380</v>
      </c>
      <c r="C7087" s="2"/>
      <c r="D7087" s="2" t="s">
        <v>16</v>
      </c>
      <c r="E7087" s="4">
        <f>33.37*(1-Z1%)</f>
        <v>33.37</v>
      </c>
      <c r="F7087" s="2">
        <v>12</v>
      </c>
      <c r="G7087" s="2"/>
    </row>
    <row r="7088" spans="1:26" customHeight="1" ht="18" hidden="true" outlineLevel="3">
      <c r="A7088" s="2" t="s">
        <v>13381</v>
      </c>
      <c r="B7088" s="3" t="s">
        <v>13382</v>
      </c>
      <c r="C7088" s="2"/>
      <c r="D7088" s="2" t="s">
        <v>16</v>
      </c>
      <c r="E7088" s="4">
        <f>74.92*(1-Z1%)</f>
        <v>74.92</v>
      </c>
      <c r="F7088" s="2">
        <v>22</v>
      </c>
      <c r="G7088" s="2"/>
    </row>
    <row r="7089" spans="1:26" customHeight="1" ht="36" hidden="true" outlineLevel="3">
      <c r="A7089" s="2" t="s">
        <v>13383</v>
      </c>
      <c r="B7089" s="3" t="s">
        <v>13384</v>
      </c>
      <c r="C7089" s="2"/>
      <c r="D7089" s="2" t="s">
        <v>16</v>
      </c>
      <c r="E7089" s="4">
        <f>65.21*(1-Z1%)</f>
        <v>65.21</v>
      </c>
      <c r="F7089" s="2">
        <v>8</v>
      </c>
      <c r="G7089" s="2"/>
    </row>
    <row r="7090" spans="1:26" customHeight="1" ht="36" hidden="true" outlineLevel="3">
      <c r="A7090" s="2" t="s">
        <v>13385</v>
      </c>
      <c r="B7090" s="3" t="s">
        <v>13386</v>
      </c>
      <c r="C7090" s="2"/>
      <c r="D7090" s="2" t="s">
        <v>16</v>
      </c>
      <c r="E7090" s="4">
        <f>34.04*(1-Z1%)</f>
        <v>34.04</v>
      </c>
      <c r="F7090" s="2">
        <v>11</v>
      </c>
      <c r="G7090" s="2"/>
    </row>
    <row r="7091" spans="1:26" customHeight="1" ht="36" hidden="true" outlineLevel="3">
      <c r="A7091" s="2" t="s">
        <v>13387</v>
      </c>
      <c r="B7091" s="3" t="s">
        <v>13388</v>
      </c>
      <c r="C7091" s="2"/>
      <c r="D7091" s="2" t="s">
        <v>16</v>
      </c>
      <c r="E7091" s="4">
        <f>41.27*(1-Z1%)</f>
        <v>41.27</v>
      </c>
      <c r="F7091" s="2">
        <v>1</v>
      </c>
      <c r="G7091" s="2"/>
    </row>
    <row r="7092" spans="1:26" customHeight="1" ht="36" hidden="true" outlineLevel="3">
      <c r="A7092" s="2" t="s">
        <v>13389</v>
      </c>
      <c r="B7092" s="3" t="s">
        <v>13390</v>
      </c>
      <c r="C7092" s="2"/>
      <c r="D7092" s="2" t="s">
        <v>16</v>
      </c>
      <c r="E7092" s="4">
        <f>41.27*(1-Z1%)</f>
        <v>41.27</v>
      </c>
      <c r="F7092" s="2">
        <v>30</v>
      </c>
      <c r="G7092" s="2"/>
    </row>
    <row r="7093" spans="1:26" customHeight="1" ht="36" hidden="true" outlineLevel="3">
      <c r="A7093" s="2" t="s">
        <v>13391</v>
      </c>
      <c r="B7093" s="3" t="s">
        <v>13392</v>
      </c>
      <c r="C7093" s="2"/>
      <c r="D7093" s="2" t="s">
        <v>16</v>
      </c>
      <c r="E7093" s="4">
        <f>38.75*(1-Z1%)</f>
        <v>38.75</v>
      </c>
      <c r="F7093" s="2">
        <v>33</v>
      </c>
      <c r="G7093" s="2"/>
    </row>
    <row r="7094" spans="1:26" customHeight="1" ht="18" hidden="true" outlineLevel="3">
      <c r="A7094" s="2" t="s">
        <v>13393</v>
      </c>
      <c r="B7094" s="3" t="s">
        <v>13394</v>
      </c>
      <c r="C7094" s="2"/>
      <c r="D7094" s="2" t="s">
        <v>16</v>
      </c>
      <c r="E7094" s="4">
        <f>18.60*(1-Z1%)</f>
        <v>18.6</v>
      </c>
      <c r="F7094" s="2">
        <v>6</v>
      </c>
      <c r="G7094" s="2"/>
    </row>
    <row r="7095" spans="1:26" customHeight="1" ht="18" hidden="true" outlineLevel="3">
      <c r="A7095" s="2" t="s">
        <v>13395</v>
      </c>
      <c r="B7095" s="3" t="s">
        <v>13396</v>
      </c>
      <c r="C7095" s="2"/>
      <c r="D7095" s="2" t="s">
        <v>16</v>
      </c>
      <c r="E7095" s="4">
        <f>28.96*(1-Z1%)</f>
        <v>28.96</v>
      </c>
      <c r="F7095" s="2">
        <v>26</v>
      </c>
      <c r="G7095" s="2"/>
    </row>
    <row r="7096" spans="1:26" customHeight="1" ht="18" hidden="true" outlineLevel="3">
      <c r="A7096" s="2" t="s">
        <v>13397</v>
      </c>
      <c r="B7096" s="3" t="s">
        <v>13398</v>
      </c>
      <c r="C7096" s="2"/>
      <c r="D7096" s="2" t="s">
        <v>16</v>
      </c>
      <c r="E7096" s="4">
        <f>116.41*(1-Z1%)</f>
        <v>116.41</v>
      </c>
      <c r="F7096" s="2">
        <v>5</v>
      </c>
      <c r="G7096" s="2"/>
    </row>
    <row r="7097" spans="1:26" customHeight="1" ht="18" hidden="true" outlineLevel="3">
      <c r="A7097" s="2" t="s">
        <v>13399</v>
      </c>
      <c r="B7097" s="3" t="s">
        <v>13400</v>
      </c>
      <c r="C7097" s="2"/>
      <c r="D7097" s="2" t="s">
        <v>16</v>
      </c>
      <c r="E7097" s="4">
        <f>116.41*(1-Z1%)</f>
        <v>116.41</v>
      </c>
      <c r="F7097" s="2">
        <v>8</v>
      </c>
      <c r="G7097" s="2"/>
    </row>
    <row r="7098" spans="1:26" customHeight="1" ht="36" hidden="true" outlineLevel="3">
      <c r="A7098" s="2" t="s">
        <v>13401</v>
      </c>
      <c r="B7098" s="3" t="s">
        <v>13402</v>
      </c>
      <c r="C7098" s="2"/>
      <c r="D7098" s="2" t="s">
        <v>16</v>
      </c>
      <c r="E7098" s="4">
        <f>48.47*(1-Z1%)</f>
        <v>48.47</v>
      </c>
      <c r="F7098" s="2">
        <v>15</v>
      </c>
      <c r="G7098" s="2"/>
    </row>
    <row r="7099" spans="1:26" customHeight="1" ht="36" hidden="true" outlineLevel="3">
      <c r="A7099" s="2" t="s">
        <v>13403</v>
      </c>
      <c r="B7099" s="3" t="s">
        <v>13404</v>
      </c>
      <c r="C7099" s="2"/>
      <c r="D7099" s="2" t="s">
        <v>16</v>
      </c>
      <c r="E7099" s="4">
        <f>126.72*(1-Z1%)</f>
        <v>126.72</v>
      </c>
      <c r="F7099" s="2">
        <v>7</v>
      </c>
      <c r="G7099" s="2"/>
    </row>
    <row r="7100" spans="1:26" customHeight="1" ht="18" hidden="true" outlineLevel="3">
      <c r="A7100" s="2" t="s">
        <v>13405</v>
      </c>
      <c r="B7100" s="3" t="s">
        <v>13406</v>
      </c>
      <c r="C7100" s="2"/>
      <c r="D7100" s="2" t="s">
        <v>16</v>
      </c>
      <c r="E7100" s="4">
        <f>60.77*(1-Z1%)</f>
        <v>60.77</v>
      </c>
      <c r="F7100" s="2">
        <v>20</v>
      </c>
      <c r="G7100" s="2"/>
    </row>
    <row r="7101" spans="1:26" customHeight="1" ht="18" hidden="true" outlineLevel="3">
      <c r="A7101" s="2" t="s">
        <v>13407</v>
      </c>
      <c r="B7101" s="3" t="s">
        <v>13408</v>
      </c>
      <c r="C7101" s="2"/>
      <c r="D7101" s="2" t="s">
        <v>16</v>
      </c>
      <c r="E7101" s="4">
        <f>60.77*(1-Z1%)</f>
        <v>60.77</v>
      </c>
      <c r="F7101" s="2">
        <v>20</v>
      </c>
      <c r="G7101" s="2"/>
    </row>
    <row r="7102" spans="1:26" customHeight="1" ht="36" hidden="true" outlineLevel="3">
      <c r="A7102" s="2" t="s">
        <v>13409</v>
      </c>
      <c r="B7102" s="3" t="s">
        <v>13410</v>
      </c>
      <c r="C7102" s="2"/>
      <c r="D7102" s="2" t="s">
        <v>16</v>
      </c>
      <c r="E7102" s="4">
        <f>40.99*(1-Z1%)</f>
        <v>40.99</v>
      </c>
      <c r="F7102" s="2">
        <v>28</v>
      </c>
      <c r="G7102" s="2"/>
    </row>
    <row r="7103" spans="1:26" customHeight="1" ht="18" hidden="true" outlineLevel="3">
      <c r="A7103" s="2" t="s">
        <v>13411</v>
      </c>
      <c r="B7103" s="3" t="s">
        <v>13412</v>
      </c>
      <c r="C7103" s="2"/>
      <c r="D7103" s="2" t="s">
        <v>16</v>
      </c>
      <c r="E7103" s="4">
        <f>80.51*(1-Z1%)</f>
        <v>80.51</v>
      </c>
      <c r="F7103" s="2">
        <v>17</v>
      </c>
      <c r="G7103" s="2"/>
    </row>
    <row r="7104" spans="1:26" customHeight="1" ht="18" hidden="true" outlineLevel="3">
      <c r="A7104" s="2" t="s">
        <v>13413</v>
      </c>
      <c r="B7104" s="3" t="s">
        <v>13414</v>
      </c>
      <c r="C7104" s="2"/>
      <c r="D7104" s="2" t="s">
        <v>16</v>
      </c>
      <c r="E7104" s="4">
        <f>80.51*(1-Z1%)</f>
        <v>80.51</v>
      </c>
      <c r="F7104" s="2">
        <v>17</v>
      </c>
      <c r="G7104" s="2"/>
    </row>
    <row r="7105" spans="1:26" customHeight="1" ht="35" hidden="true" outlineLevel="3">
      <c r="A7105" s="5" t="s">
        <v>13415</v>
      </c>
      <c r="B7105" s="5"/>
      <c r="C7105" s="5"/>
      <c r="D7105" s="5"/>
      <c r="E7105" s="5"/>
      <c r="F7105" s="5"/>
      <c r="G7105" s="5"/>
    </row>
    <row r="7106" spans="1:26" customHeight="1" ht="18" hidden="true" outlineLevel="3">
      <c r="A7106" s="2" t="s">
        <v>13416</v>
      </c>
      <c r="B7106" s="3" t="s">
        <v>13417</v>
      </c>
      <c r="C7106" s="2"/>
      <c r="D7106" s="2" t="s">
        <v>16</v>
      </c>
      <c r="E7106" s="4">
        <f>23.40*(1-Z1%)</f>
        <v>23.4</v>
      </c>
      <c r="F7106" s="2">
        <v>7</v>
      </c>
      <c r="G7106" s="2"/>
    </row>
    <row r="7107" spans="1:26" customHeight="1" ht="18" hidden="true" outlineLevel="3">
      <c r="A7107" s="2" t="s">
        <v>13418</v>
      </c>
      <c r="B7107" s="3" t="s">
        <v>13419</v>
      </c>
      <c r="C7107" s="2"/>
      <c r="D7107" s="2" t="s">
        <v>16</v>
      </c>
      <c r="E7107" s="4">
        <f>21.64*(1-Z1%)</f>
        <v>21.64</v>
      </c>
      <c r="F7107" s="2">
        <v>10</v>
      </c>
      <c r="G7107" s="2"/>
    </row>
    <row r="7108" spans="1:26" customHeight="1" ht="18" hidden="true" outlineLevel="3">
      <c r="A7108" s="2" t="s">
        <v>13420</v>
      </c>
      <c r="B7108" s="3" t="s">
        <v>13421</v>
      </c>
      <c r="C7108" s="2"/>
      <c r="D7108" s="2" t="s">
        <v>16</v>
      </c>
      <c r="E7108" s="4">
        <f>35.58*(1-Z1%)</f>
        <v>35.58</v>
      </c>
      <c r="F7108" s="2">
        <v>15</v>
      </c>
      <c r="G7108" s="2"/>
    </row>
    <row r="7109" spans="1:26" customHeight="1" ht="18" hidden="true" outlineLevel="3">
      <c r="A7109" s="2" t="s">
        <v>13422</v>
      </c>
      <c r="B7109" s="3" t="s">
        <v>13423</v>
      </c>
      <c r="C7109" s="2"/>
      <c r="D7109" s="2" t="s">
        <v>16</v>
      </c>
      <c r="E7109" s="4">
        <f>35.58*(1-Z1%)</f>
        <v>35.58</v>
      </c>
      <c r="F7109" s="2">
        <v>15</v>
      </c>
      <c r="G7109" s="2"/>
    </row>
    <row r="7110" spans="1:26" customHeight="1" ht="18" hidden="true" outlineLevel="3">
      <c r="A7110" s="2" t="s">
        <v>13424</v>
      </c>
      <c r="B7110" s="3" t="s">
        <v>13425</v>
      </c>
      <c r="C7110" s="2"/>
      <c r="D7110" s="2" t="s">
        <v>16</v>
      </c>
      <c r="E7110" s="4">
        <f>51.32*(1-Z1%)</f>
        <v>51.32</v>
      </c>
      <c r="F7110" s="2">
        <v>8</v>
      </c>
      <c r="G7110" s="2"/>
    </row>
    <row r="7111" spans="1:26" customHeight="1" ht="18" hidden="true" outlineLevel="3">
      <c r="A7111" s="2" t="s">
        <v>13426</v>
      </c>
      <c r="B7111" s="3" t="s">
        <v>13427</v>
      </c>
      <c r="C7111" s="2"/>
      <c r="D7111" s="2" t="s">
        <v>16</v>
      </c>
      <c r="E7111" s="4">
        <f>51.30*(1-Z1%)</f>
        <v>51.3</v>
      </c>
      <c r="F7111" s="2">
        <v>17</v>
      </c>
      <c r="G7111" s="2"/>
    </row>
    <row r="7112" spans="1:26" customHeight="1" ht="18" hidden="true" outlineLevel="3">
      <c r="A7112" s="2" t="s">
        <v>13428</v>
      </c>
      <c r="B7112" s="3" t="s">
        <v>13429</v>
      </c>
      <c r="C7112" s="2"/>
      <c r="D7112" s="2" t="s">
        <v>16</v>
      </c>
      <c r="E7112" s="4">
        <f>51.32*(1-Z1%)</f>
        <v>51.32</v>
      </c>
      <c r="F7112" s="2">
        <v>11</v>
      </c>
      <c r="G7112" s="2"/>
    </row>
    <row r="7113" spans="1:26" customHeight="1" ht="18" hidden="true" outlineLevel="3">
      <c r="A7113" s="2" t="s">
        <v>13430</v>
      </c>
      <c r="B7113" s="3" t="s">
        <v>13431</v>
      </c>
      <c r="C7113" s="2"/>
      <c r="D7113" s="2" t="s">
        <v>16</v>
      </c>
      <c r="E7113" s="4">
        <f>21.64*(1-Z1%)</f>
        <v>21.64</v>
      </c>
      <c r="F7113" s="2">
        <v>40</v>
      </c>
      <c r="G7113" s="2"/>
    </row>
    <row r="7114" spans="1:26" customHeight="1" ht="18" hidden="true" outlineLevel="3">
      <c r="A7114" s="2" t="s">
        <v>13432</v>
      </c>
      <c r="B7114" s="3" t="s">
        <v>13433</v>
      </c>
      <c r="C7114" s="2"/>
      <c r="D7114" s="2" t="s">
        <v>16</v>
      </c>
      <c r="E7114" s="4">
        <f>29.75*(1-Z1%)</f>
        <v>29.75</v>
      </c>
      <c r="F7114" s="2">
        <v>9</v>
      </c>
      <c r="G7114" s="2"/>
    </row>
    <row r="7115" spans="1:26" customHeight="1" ht="18" hidden="true" outlineLevel="3">
      <c r="A7115" s="2" t="s">
        <v>13434</v>
      </c>
      <c r="B7115" s="3" t="s">
        <v>13435</v>
      </c>
      <c r="C7115" s="2"/>
      <c r="D7115" s="2" t="s">
        <v>16</v>
      </c>
      <c r="E7115" s="4">
        <f>32.43*(1-Z1%)</f>
        <v>32.43</v>
      </c>
      <c r="F7115" s="2">
        <v>12</v>
      </c>
      <c r="G7115" s="2"/>
    </row>
    <row r="7116" spans="1:26" customHeight="1" ht="18" hidden="true" outlineLevel="3">
      <c r="A7116" s="2" t="s">
        <v>13436</v>
      </c>
      <c r="B7116" s="3" t="s">
        <v>13437</v>
      </c>
      <c r="C7116" s="2"/>
      <c r="D7116" s="2" t="s">
        <v>16</v>
      </c>
      <c r="E7116" s="4">
        <f>31.74*(1-Z1%)</f>
        <v>31.74</v>
      </c>
      <c r="F7116" s="2">
        <v>27</v>
      </c>
      <c r="G7116" s="2"/>
    </row>
    <row r="7117" spans="1:26" customHeight="1" ht="18" hidden="true" outlineLevel="3">
      <c r="A7117" s="2" t="s">
        <v>13438</v>
      </c>
      <c r="B7117" s="3" t="s">
        <v>13439</v>
      </c>
      <c r="C7117" s="2"/>
      <c r="D7117" s="2" t="s">
        <v>16</v>
      </c>
      <c r="E7117" s="4">
        <f>55.02*(1-Z1%)</f>
        <v>55.02</v>
      </c>
      <c r="F7117" s="2">
        <v>5</v>
      </c>
      <c r="G7117" s="2"/>
    </row>
    <row r="7118" spans="1:26" customHeight="1" ht="35" hidden="true" outlineLevel="3">
      <c r="A7118" s="5" t="s">
        <v>13440</v>
      </c>
      <c r="B7118" s="5"/>
      <c r="C7118" s="5"/>
      <c r="D7118" s="5"/>
      <c r="E7118" s="5"/>
      <c r="F7118" s="5"/>
      <c r="G7118" s="5"/>
    </row>
    <row r="7119" spans="1:26" customHeight="1" ht="36" hidden="true" outlineLevel="3">
      <c r="A7119" s="2" t="s">
        <v>13441</v>
      </c>
      <c r="B7119" s="3" t="s">
        <v>13442</v>
      </c>
      <c r="C7119" s="2"/>
      <c r="D7119" s="2" t="s">
        <v>16</v>
      </c>
      <c r="E7119" s="4">
        <f>359.75*(1-Z1%)</f>
        <v>359.75</v>
      </c>
      <c r="F7119" s="2">
        <v>3</v>
      </c>
      <c r="G7119" s="2"/>
    </row>
    <row r="7120" spans="1:26" customHeight="1" ht="36" hidden="true" outlineLevel="3">
      <c r="A7120" s="2" t="s">
        <v>13443</v>
      </c>
      <c r="B7120" s="3" t="s">
        <v>13444</v>
      </c>
      <c r="C7120" s="2"/>
      <c r="D7120" s="2" t="s">
        <v>16</v>
      </c>
      <c r="E7120" s="4">
        <f>65.37*(1-Z1%)</f>
        <v>65.37</v>
      </c>
      <c r="F7120" s="2">
        <v>9</v>
      </c>
      <c r="G7120" s="2"/>
    </row>
    <row r="7121" spans="1:26" customHeight="1" ht="18" hidden="true" outlineLevel="3">
      <c r="A7121" s="2" t="s">
        <v>13445</v>
      </c>
      <c r="B7121" s="3" t="s">
        <v>13446</v>
      </c>
      <c r="C7121" s="2"/>
      <c r="D7121" s="2" t="s">
        <v>16</v>
      </c>
      <c r="E7121" s="4">
        <f>58.15*(1-Z1%)</f>
        <v>58.15</v>
      </c>
      <c r="F7121" s="2">
        <v>6</v>
      </c>
      <c r="G7121" s="2"/>
    </row>
    <row r="7122" spans="1:26" customHeight="1" ht="36" hidden="true" outlineLevel="3">
      <c r="A7122" s="2" t="s">
        <v>13447</v>
      </c>
      <c r="B7122" s="3" t="s">
        <v>13448</v>
      </c>
      <c r="C7122" s="2"/>
      <c r="D7122" s="2" t="s">
        <v>16</v>
      </c>
      <c r="E7122" s="4">
        <f>45.78*(1-Z1%)</f>
        <v>45.78</v>
      </c>
      <c r="F7122" s="2">
        <v>20</v>
      </c>
      <c r="G7122" s="2"/>
    </row>
    <row r="7123" spans="1:26" customHeight="1" ht="36" hidden="true" outlineLevel="3">
      <c r="A7123" s="2" t="s">
        <v>13449</v>
      </c>
      <c r="B7123" s="3" t="s">
        <v>13450</v>
      </c>
      <c r="C7123" s="2"/>
      <c r="D7123" s="2" t="s">
        <v>16</v>
      </c>
      <c r="E7123" s="4">
        <f>54.63*(1-Z1%)</f>
        <v>54.63</v>
      </c>
      <c r="F7123" s="2">
        <v>10</v>
      </c>
      <c r="G7123" s="2"/>
    </row>
    <row r="7124" spans="1:26" customHeight="1" ht="36" hidden="true" outlineLevel="3">
      <c r="A7124" s="2" t="s">
        <v>13451</v>
      </c>
      <c r="B7124" s="3" t="s">
        <v>13452</v>
      </c>
      <c r="C7124" s="2"/>
      <c r="D7124" s="2" t="s">
        <v>16</v>
      </c>
      <c r="E7124" s="4">
        <f>64.20*(1-Z1%)</f>
        <v>64.2</v>
      </c>
      <c r="F7124" s="2">
        <v>5</v>
      </c>
      <c r="G7124" s="2"/>
    </row>
    <row r="7125" spans="1:26" customHeight="1" ht="36" hidden="true" outlineLevel="3">
      <c r="A7125" s="2" t="s">
        <v>13453</v>
      </c>
      <c r="B7125" s="3" t="s">
        <v>13454</v>
      </c>
      <c r="C7125" s="2"/>
      <c r="D7125" s="2" t="s">
        <v>16</v>
      </c>
      <c r="E7125" s="4">
        <f>69.25*(1-Z1%)</f>
        <v>69.25</v>
      </c>
      <c r="F7125" s="2">
        <v>10</v>
      </c>
      <c r="G7125" s="2"/>
    </row>
    <row r="7126" spans="1:26" customHeight="1" ht="36" hidden="true" outlineLevel="3">
      <c r="A7126" s="2" t="s">
        <v>13455</v>
      </c>
      <c r="B7126" s="3" t="s">
        <v>13456</v>
      </c>
      <c r="C7126" s="2"/>
      <c r="D7126" s="2" t="s">
        <v>16</v>
      </c>
      <c r="E7126" s="4">
        <f>54.63*(1-Z1%)</f>
        <v>54.63</v>
      </c>
      <c r="F7126" s="2">
        <v>5</v>
      </c>
      <c r="G7126" s="2"/>
    </row>
    <row r="7127" spans="1:26" customHeight="1" ht="36" hidden="true" outlineLevel="3">
      <c r="A7127" s="2" t="s">
        <v>13457</v>
      </c>
      <c r="B7127" s="3" t="s">
        <v>13458</v>
      </c>
      <c r="C7127" s="2"/>
      <c r="D7127" s="2" t="s">
        <v>16</v>
      </c>
      <c r="E7127" s="4">
        <f>154.73*(1-Z1%)</f>
        <v>154.73</v>
      </c>
      <c r="F7127" s="2">
        <v>8</v>
      </c>
      <c r="G7127" s="2"/>
    </row>
    <row r="7128" spans="1:26" customHeight="1" ht="36" hidden="true" outlineLevel="3">
      <c r="A7128" s="2" t="s">
        <v>13459</v>
      </c>
      <c r="B7128" s="3" t="s">
        <v>13460</v>
      </c>
      <c r="C7128" s="2"/>
      <c r="D7128" s="2" t="s">
        <v>16</v>
      </c>
      <c r="E7128" s="4">
        <f>177.10*(1-Z1%)</f>
        <v>177.1</v>
      </c>
      <c r="F7128" s="2">
        <v>4</v>
      </c>
      <c r="G7128" s="2"/>
    </row>
    <row r="7129" spans="1:26" customHeight="1" ht="36" hidden="true" outlineLevel="3">
      <c r="A7129" s="2" t="s">
        <v>13461</v>
      </c>
      <c r="B7129" s="3" t="s">
        <v>13462</v>
      </c>
      <c r="C7129" s="2"/>
      <c r="D7129" s="2" t="s">
        <v>16</v>
      </c>
      <c r="E7129" s="4">
        <f>307.45*(1-Z1%)</f>
        <v>307.45</v>
      </c>
      <c r="F7129" s="2">
        <v>10</v>
      </c>
      <c r="G7129" s="2"/>
    </row>
    <row r="7130" spans="1:26" customHeight="1" ht="36" hidden="true" outlineLevel="3">
      <c r="A7130" s="2" t="s">
        <v>13463</v>
      </c>
      <c r="B7130" s="3" t="s">
        <v>13464</v>
      </c>
      <c r="C7130" s="2"/>
      <c r="D7130" s="2" t="s">
        <v>16</v>
      </c>
      <c r="E7130" s="4">
        <f>193.49*(1-Z1%)</f>
        <v>193.49</v>
      </c>
      <c r="F7130" s="2">
        <v>10</v>
      </c>
      <c r="G7130" s="2"/>
    </row>
    <row r="7131" spans="1:26" customHeight="1" ht="36" hidden="true" outlineLevel="3">
      <c r="A7131" s="2" t="s">
        <v>13465</v>
      </c>
      <c r="B7131" s="3" t="s">
        <v>13466</v>
      </c>
      <c r="C7131" s="2"/>
      <c r="D7131" s="2" t="s">
        <v>16</v>
      </c>
      <c r="E7131" s="4">
        <f>179.02*(1-Z1%)</f>
        <v>179.02</v>
      </c>
      <c r="F7131" s="2">
        <v>13</v>
      </c>
      <c r="G7131" s="2"/>
    </row>
    <row r="7132" spans="1:26" customHeight="1" ht="36" hidden="true" outlineLevel="3">
      <c r="A7132" s="2" t="s">
        <v>13467</v>
      </c>
      <c r="B7132" s="3" t="s">
        <v>13468</v>
      </c>
      <c r="C7132" s="2"/>
      <c r="D7132" s="2" t="s">
        <v>16</v>
      </c>
      <c r="E7132" s="4">
        <f>183.51*(1-Z1%)</f>
        <v>183.51</v>
      </c>
      <c r="F7132" s="2">
        <v>12</v>
      </c>
      <c r="G7132" s="2"/>
    </row>
    <row r="7133" spans="1:26" customHeight="1" ht="36" hidden="true" outlineLevel="3">
      <c r="A7133" s="2" t="s">
        <v>13469</v>
      </c>
      <c r="B7133" s="3" t="s">
        <v>13470</v>
      </c>
      <c r="C7133" s="2"/>
      <c r="D7133" s="2" t="s">
        <v>16</v>
      </c>
      <c r="E7133" s="4">
        <f>122.43*(1-Z1%)</f>
        <v>122.43</v>
      </c>
      <c r="F7133" s="2">
        <v>10</v>
      </c>
      <c r="G7133" s="2"/>
    </row>
    <row r="7134" spans="1:26" customHeight="1" ht="36" hidden="true" outlineLevel="3">
      <c r="A7134" s="2" t="s">
        <v>13471</v>
      </c>
      <c r="B7134" s="3" t="s">
        <v>13472</v>
      </c>
      <c r="C7134" s="2"/>
      <c r="D7134" s="2" t="s">
        <v>16</v>
      </c>
      <c r="E7134" s="4">
        <f>147.94*(1-Z1%)</f>
        <v>147.94</v>
      </c>
      <c r="F7134" s="2">
        <v>4</v>
      </c>
      <c r="G7134" s="2"/>
    </row>
    <row r="7135" spans="1:26" customHeight="1" ht="36" hidden="true" outlineLevel="3">
      <c r="A7135" s="2" t="s">
        <v>13473</v>
      </c>
      <c r="B7135" s="3" t="s">
        <v>13474</v>
      </c>
      <c r="C7135" s="2"/>
      <c r="D7135" s="2" t="s">
        <v>16</v>
      </c>
      <c r="E7135" s="4">
        <f>167.01*(1-Z1%)</f>
        <v>167.01</v>
      </c>
      <c r="F7135" s="2">
        <v>3</v>
      </c>
      <c r="G7135" s="2"/>
    </row>
    <row r="7136" spans="1:26" customHeight="1" ht="36" hidden="true" outlineLevel="3">
      <c r="A7136" s="2" t="s">
        <v>13475</v>
      </c>
      <c r="B7136" s="3" t="s">
        <v>13476</v>
      </c>
      <c r="C7136" s="2"/>
      <c r="D7136" s="2" t="s">
        <v>16</v>
      </c>
      <c r="E7136" s="4">
        <f>158.77*(1-Z1%)</f>
        <v>158.77</v>
      </c>
      <c r="F7136" s="2">
        <v>3</v>
      </c>
      <c r="G7136" s="2"/>
    </row>
    <row r="7137" spans="1:26" customHeight="1" ht="36" hidden="true" outlineLevel="3">
      <c r="A7137" s="2" t="s">
        <v>13477</v>
      </c>
      <c r="B7137" s="3" t="s">
        <v>13478</v>
      </c>
      <c r="C7137" s="2"/>
      <c r="D7137" s="2" t="s">
        <v>16</v>
      </c>
      <c r="E7137" s="4">
        <f>193.82*(1-Z1%)</f>
        <v>193.82</v>
      </c>
      <c r="F7137" s="2">
        <v>4</v>
      </c>
      <c r="G7137" s="2"/>
    </row>
    <row r="7138" spans="1:26" customHeight="1" ht="36" hidden="true" outlineLevel="3">
      <c r="A7138" s="2" t="s">
        <v>13479</v>
      </c>
      <c r="B7138" s="3" t="s">
        <v>13480</v>
      </c>
      <c r="C7138" s="2"/>
      <c r="D7138" s="2" t="s">
        <v>16</v>
      </c>
      <c r="E7138" s="4">
        <f>151.54*(1-Z1%)</f>
        <v>151.54</v>
      </c>
      <c r="F7138" s="2">
        <v>10</v>
      </c>
      <c r="G7138" s="2"/>
    </row>
    <row r="7139" spans="1:26" customHeight="1" ht="36" hidden="true" outlineLevel="3">
      <c r="A7139" s="2" t="s">
        <v>13481</v>
      </c>
      <c r="B7139" s="3" t="s">
        <v>13482</v>
      </c>
      <c r="C7139" s="2"/>
      <c r="D7139" s="2" t="s">
        <v>16</v>
      </c>
      <c r="E7139" s="4">
        <f>136.60*(1-Z1%)</f>
        <v>136.6</v>
      </c>
      <c r="F7139" s="2">
        <v>14</v>
      </c>
      <c r="G7139" s="2"/>
    </row>
    <row r="7140" spans="1:26" customHeight="1" ht="36" hidden="true" outlineLevel="3">
      <c r="A7140" s="2" t="s">
        <v>13483</v>
      </c>
      <c r="B7140" s="3" t="s">
        <v>13484</v>
      </c>
      <c r="C7140" s="2"/>
      <c r="D7140" s="2" t="s">
        <v>16</v>
      </c>
      <c r="E7140" s="4">
        <f>149.19*(1-Z1%)</f>
        <v>149.19</v>
      </c>
      <c r="F7140" s="2">
        <v>25</v>
      </c>
      <c r="G7140" s="2"/>
    </row>
    <row r="7141" spans="1:26" customHeight="1" ht="36" hidden="true" outlineLevel="3">
      <c r="A7141" s="2" t="s">
        <v>13485</v>
      </c>
      <c r="B7141" s="3" t="s">
        <v>13486</v>
      </c>
      <c r="C7141" s="2"/>
      <c r="D7141" s="2" t="s">
        <v>16</v>
      </c>
      <c r="E7141" s="4">
        <f>65.37*(1-Z1%)</f>
        <v>65.37</v>
      </c>
      <c r="F7141" s="2">
        <v>10</v>
      </c>
      <c r="G7141" s="2"/>
    </row>
    <row r="7142" spans="1:26" customHeight="1" ht="36" hidden="true" outlineLevel="3">
      <c r="A7142" s="2" t="s">
        <v>13487</v>
      </c>
      <c r="B7142" s="3" t="s">
        <v>13488</v>
      </c>
      <c r="C7142" s="2"/>
      <c r="D7142" s="2" t="s">
        <v>16</v>
      </c>
      <c r="E7142" s="4">
        <f>31.64*(1-Z1%)</f>
        <v>31.64</v>
      </c>
      <c r="F7142" s="2">
        <v>17</v>
      </c>
      <c r="G7142" s="2"/>
    </row>
    <row r="7143" spans="1:26" customHeight="1" ht="36" hidden="true" outlineLevel="3">
      <c r="A7143" s="2" t="s">
        <v>13489</v>
      </c>
      <c r="B7143" s="3" t="s">
        <v>13490</v>
      </c>
      <c r="C7143" s="2"/>
      <c r="D7143" s="2" t="s">
        <v>16</v>
      </c>
      <c r="E7143" s="4">
        <f>26.88*(1-Z1%)</f>
        <v>26.88</v>
      </c>
      <c r="F7143" s="2">
        <v>12</v>
      </c>
      <c r="G7143" s="2"/>
    </row>
    <row r="7144" spans="1:26" customHeight="1" ht="36" hidden="true" outlineLevel="3">
      <c r="A7144" s="2" t="s">
        <v>13491</v>
      </c>
      <c r="B7144" s="3" t="s">
        <v>13492</v>
      </c>
      <c r="C7144" s="2"/>
      <c r="D7144" s="2" t="s">
        <v>16</v>
      </c>
      <c r="E7144" s="4">
        <f>40.07*(1-Z1%)</f>
        <v>40.07</v>
      </c>
      <c r="F7144" s="2">
        <v>5</v>
      </c>
      <c r="G7144" s="2"/>
    </row>
    <row r="7145" spans="1:26" customHeight="1" ht="36" hidden="true" outlineLevel="3">
      <c r="A7145" s="2" t="s">
        <v>13493</v>
      </c>
      <c r="B7145" s="3" t="s">
        <v>13494</v>
      </c>
      <c r="C7145" s="2"/>
      <c r="D7145" s="2" t="s">
        <v>16</v>
      </c>
      <c r="E7145" s="4">
        <f>49.57*(1-Z1%)</f>
        <v>49.57</v>
      </c>
      <c r="F7145" s="2">
        <v>7</v>
      </c>
      <c r="G7145" s="2"/>
    </row>
    <row r="7146" spans="1:26" customHeight="1" ht="36" hidden="true" outlineLevel="3">
      <c r="A7146" s="2" t="s">
        <v>13495</v>
      </c>
      <c r="B7146" s="3" t="s">
        <v>13496</v>
      </c>
      <c r="C7146" s="2"/>
      <c r="D7146" s="2" t="s">
        <v>16</v>
      </c>
      <c r="E7146" s="4">
        <f>102.49*(1-Z1%)</f>
        <v>102.49</v>
      </c>
      <c r="F7146" s="2">
        <v>14</v>
      </c>
      <c r="G7146" s="2"/>
    </row>
    <row r="7147" spans="1:26" customHeight="1" ht="36" hidden="true" outlineLevel="3">
      <c r="A7147" s="2" t="s">
        <v>13497</v>
      </c>
      <c r="B7147" s="3" t="s">
        <v>13498</v>
      </c>
      <c r="C7147" s="2"/>
      <c r="D7147" s="2" t="s">
        <v>16</v>
      </c>
      <c r="E7147" s="4">
        <f>79.52*(1-Z1%)</f>
        <v>79.52</v>
      </c>
      <c r="F7147" s="2">
        <v>10</v>
      </c>
      <c r="G7147" s="2"/>
    </row>
    <row r="7148" spans="1:26" customHeight="1" ht="36" hidden="true" outlineLevel="3">
      <c r="A7148" s="2" t="s">
        <v>13499</v>
      </c>
      <c r="B7148" s="3" t="s">
        <v>13500</v>
      </c>
      <c r="C7148" s="2"/>
      <c r="D7148" s="2" t="s">
        <v>16</v>
      </c>
      <c r="E7148" s="4">
        <f>48.47*(1-Z1%)</f>
        <v>48.47</v>
      </c>
      <c r="F7148" s="2">
        <v>12</v>
      </c>
      <c r="G7148" s="2"/>
    </row>
    <row r="7149" spans="1:26" customHeight="1" ht="36" hidden="true" outlineLevel="3">
      <c r="A7149" s="2" t="s">
        <v>13501</v>
      </c>
      <c r="B7149" s="3" t="s">
        <v>13502</v>
      </c>
      <c r="C7149" s="2"/>
      <c r="D7149" s="2" t="s">
        <v>16</v>
      </c>
      <c r="E7149" s="4">
        <f>155.76*(1-Z1%)</f>
        <v>155.76</v>
      </c>
      <c r="F7149" s="2">
        <v>10</v>
      </c>
      <c r="G7149" s="2"/>
    </row>
    <row r="7150" spans="1:26" customHeight="1" ht="36" hidden="true" outlineLevel="3">
      <c r="A7150" s="2" t="s">
        <v>13503</v>
      </c>
      <c r="B7150" s="3" t="s">
        <v>13504</v>
      </c>
      <c r="C7150" s="2"/>
      <c r="D7150" s="2" t="s">
        <v>16</v>
      </c>
      <c r="E7150" s="4">
        <f>154.52*(1-Z1%)</f>
        <v>154.52</v>
      </c>
      <c r="F7150" s="2">
        <v>3</v>
      </c>
      <c r="G7150" s="2"/>
    </row>
    <row r="7151" spans="1:26" customHeight="1" ht="36" hidden="true" outlineLevel="3">
      <c r="A7151" s="2" t="s">
        <v>13505</v>
      </c>
      <c r="B7151" s="3" t="s">
        <v>13506</v>
      </c>
      <c r="C7151" s="2"/>
      <c r="D7151" s="2" t="s">
        <v>16</v>
      </c>
      <c r="E7151" s="4">
        <f>119.56*(1-Z1%)</f>
        <v>119.56</v>
      </c>
      <c r="F7151" s="2">
        <v>10</v>
      </c>
      <c r="G7151" s="2"/>
    </row>
    <row r="7152" spans="1:26" customHeight="1" ht="36" hidden="true" outlineLevel="3">
      <c r="A7152" s="2" t="s">
        <v>13507</v>
      </c>
      <c r="B7152" s="3" t="s">
        <v>13508</v>
      </c>
      <c r="C7152" s="2"/>
      <c r="D7152" s="2" t="s">
        <v>16</v>
      </c>
      <c r="E7152" s="4">
        <f>80.53*(1-Z1%)</f>
        <v>80.53</v>
      </c>
      <c r="F7152" s="2">
        <v>17</v>
      </c>
      <c r="G7152" s="2"/>
    </row>
    <row r="7153" spans="1:26" customHeight="1" ht="36" hidden="true" outlineLevel="3">
      <c r="A7153" s="2" t="s">
        <v>13509</v>
      </c>
      <c r="B7153" s="3" t="s">
        <v>13510</v>
      </c>
      <c r="C7153" s="2"/>
      <c r="D7153" s="2" t="s">
        <v>16</v>
      </c>
      <c r="E7153" s="4">
        <f>101.84*(1-Z1%)</f>
        <v>101.84</v>
      </c>
      <c r="F7153" s="2">
        <v>10</v>
      </c>
      <c r="G7153" s="2"/>
    </row>
    <row r="7154" spans="1:26" customHeight="1" ht="36" hidden="true" outlineLevel="3">
      <c r="A7154" s="2" t="s">
        <v>13511</v>
      </c>
      <c r="B7154" s="3" t="s">
        <v>13512</v>
      </c>
      <c r="C7154" s="2"/>
      <c r="D7154" s="2" t="s">
        <v>16</v>
      </c>
      <c r="E7154" s="4">
        <f>95.62*(1-Z1%)</f>
        <v>95.62</v>
      </c>
      <c r="F7154" s="2">
        <v>16</v>
      </c>
      <c r="G7154" s="2"/>
    </row>
    <row r="7155" spans="1:26" customHeight="1" ht="36" hidden="true" outlineLevel="3">
      <c r="A7155" s="2" t="s">
        <v>13513</v>
      </c>
      <c r="B7155" s="3" t="s">
        <v>13514</v>
      </c>
      <c r="C7155" s="2"/>
      <c r="D7155" s="2" t="s">
        <v>16</v>
      </c>
      <c r="E7155" s="4">
        <f>96.25*(1-Z1%)</f>
        <v>96.25</v>
      </c>
      <c r="F7155" s="2">
        <v>17</v>
      </c>
      <c r="G7155" s="2"/>
    </row>
    <row r="7156" spans="1:26" customHeight="1" ht="36" hidden="true" outlineLevel="3">
      <c r="A7156" s="2" t="s">
        <v>13515</v>
      </c>
      <c r="B7156" s="3" t="s">
        <v>13516</v>
      </c>
      <c r="C7156" s="2"/>
      <c r="D7156" s="2" t="s">
        <v>16</v>
      </c>
      <c r="E7156" s="4">
        <f>108.62*(1-Z1%)</f>
        <v>108.62</v>
      </c>
      <c r="F7156" s="2">
        <v>9</v>
      </c>
      <c r="G7156" s="2"/>
    </row>
    <row r="7157" spans="1:26" customHeight="1" ht="36" hidden="true" outlineLevel="3">
      <c r="A7157" s="2" t="s">
        <v>13517</v>
      </c>
      <c r="B7157" s="3" t="s">
        <v>13518</v>
      </c>
      <c r="C7157" s="2"/>
      <c r="D7157" s="2" t="s">
        <v>16</v>
      </c>
      <c r="E7157" s="4">
        <f>169.72*(1-Z1%)</f>
        <v>169.72</v>
      </c>
      <c r="F7157" s="2">
        <v>8</v>
      </c>
      <c r="G7157" s="2"/>
    </row>
    <row r="7158" spans="1:26" customHeight="1" ht="36" hidden="true" outlineLevel="3">
      <c r="A7158" s="2" t="s">
        <v>13519</v>
      </c>
      <c r="B7158" s="3" t="s">
        <v>13520</v>
      </c>
      <c r="C7158" s="2"/>
      <c r="D7158" s="2" t="s">
        <v>16</v>
      </c>
      <c r="E7158" s="4">
        <f>173.21*(1-Z1%)</f>
        <v>173.21</v>
      </c>
      <c r="F7158" s="2">
        <v>10</v>
      </c>
      <c r="G7158" s="2"/>
    </row>
    <row r="7159" spans="1:26" customHeight="1" ht="36" hidden="true" outlineLevel="3">
      <c r="A7159" s="2" t="s">
        <v>13521</v>
      </c>
      <c r="B7159" s="3" t="s">
        <v>13522</v>
      </c>
      <c r="C7159" s="2"/>
      <c r="D7159" s="2" t="s">
        <v>16</v>
      </c>
      <c r="E7159" s="4">
        <f>121.35*(1-Z1%)</f>
        <v>121.35</v>
      </c>
      <c r="F7159" s="2">
        <v>3</v>
      </c>
      <c r="G7159" s="2"/>
    </row>
    <row r="7160" spans="1:26" customHeight="1" ht="36" hidden="true" outlineLevel="3">
      <c r="A7160" s="2" t="s">
        <v>13523</v>
      </c>
      <c r="B7160" s="3" t="s">
        <v>13524</v>
      </c>
      <c r="C7160" s="2"/>
      <c r="D7160" s="2" t="s">
        <v>16</v>
      </c>
      <c r="E7160" s="4">
        <f>213.17*(1-Z1%)</f>
        <v>213.17</v>
      </c>
      <c r="F7160" s="2">
        <v>9</v>
      </c>
      <c r="G7160" s="2"/>
    </row>
    <row r="7161" spans="1:26" customHeight="1" ht="36" hidden="true" outlineLevel="3">
      <c r="A7161" s="2" t="s">
        <v>13525</v>
      </c>
      <c r="B7161" s="3" t="s">
        <v>13526</v>
      </c>
      <c r="C7161" s="2"/>
      <c r="D7161" s="2" t="s">
        <v>16</v>
      </c>
      <c r="E7161" s="4">
        <f>169.24*(1-Z1%)</f>
        <v>169.24</v>
      </c>
      <c r="F7161" s="2">
        <v>7</v>
      </c>
      <c r="G7161" s="2"/>
    </row>
    <row r="7162" spans="1:26" customHeight="1" ht="36" hidden="true" outlineLevel="3">
      <c r="A7162" s="2" t="s">
        <v>13527</v>
      </c>
      <c r="B7162" s="3" t="s">
        <v>13528</v>
      </c>
      <c r="C7162" s="2"/>
      <c r="D7162" s="2" t="s">
        <v>16</v>
      </c>
      <c r="E7162" s="4">
        <f>216.32*(1-Z1%)</f>
        <v>216.32</v>
      </c>
      <c r="F7162" s="2">
        <v>8</v>
      </c>
      <c r="G7162" s="2"/>
    </row>
    <row r="7163" spans="1:26" customHeight="1" ht="36" hidden="true" outlineLevel="3">
      <c r="A7163" s="2" t="s">
        <v>13529</v>
      </c>
      <c r="B7163" s="3" t="s">
        <v>13530</v>
      </c>
      <c r="C7163" s="2"/>
      <c r="D7163" s="2" t="s">
        <v>16</v>
      </c>
      <c r="E7163" s="4">
        <f>193.83*(1-Z1%)</f>
        <v>193.83</v>
      </c>
      <c r="F7163" s="2">
        <v>6</v>
      </c>
      <c r="G7163" s="2"/>
    </row>
    <row r="7164" spans="1:26" customHeight="1" ht="36" hidden="true" outlineLevel="3">
      <c r="A7164" s="2" t="s">
        <v>13531</v>
      </c>
      <c r="B7164" s="3" t="s">
        <v>13532</v>
      </c>
      <c r="C7164" s="2"/>
      <c r="D7164" s="2" t="s">
        <v>16</v>
      </c>
      <c r="E7164" s="4">
        <f>155.72*(1-Z1%)</f>
        <v>155.72</v>
      </c>
      <c r="F7164" s="2">
        <v>10</v>
      </c>
      <c r="G7164" s="2"/>
    </row>
    <row r="7165" spans="1:26" customHeight="1" ht="36" hidden="true" outlineLevel="3">
      <c r="A7165" s="2" t="s">
        <v>13533</v>
      </c>
      <c r="B7165" s="3" t="s">
        <v>13534</v>
      </c>
      <c r="C7165" s="2"/>
      <c r="D7165" s="2" t="s">
        <v>16</v>
      </c>
      <c r="E7165" s="4">
        <f>252.12*(1-Z1%)</f>
        <v>252.12</v>
      </c>
      <c r="F7165" s="2">
        <v>21</v>
      </c>
      <c r="G7165" s="2"/>
    </row>
    <row r="7166" spans="1:26" customHeight="1" ht="36" hidden="true" outlineLevel="3">
      <c r="A7166" s="2" t="s">
        <v>13535</v>
      </c>
      <c r="B7166" s="3" t="s">
        <v>13536</v>
      </c>
      <c r="C7166" s="2"/>
      <c r="D7166" s="2" t="s">
        <v>16</v>
      </c>
      <c r="E7166" s="4">
        <f>170.30*(1-Z1%)</f>
        <v>170.3</v>
      </c>
      <c r="F7166" s="2">
        <v>13</v>
      </c>
      <c r="G7166" s="2"/>
    </row>
    <row r="7167" spans="1:26" customHeight="1" ht="36" hidden="true" outlineLevel="3">
      <c r="A7167" s="2" t="s">
        <v>13537</v>
      </c>
      <c r="B7167" s="3" t="s">
        <v>13538</v>
      </c>
      <c r="C7167" s="2"/>
      <c r="D7167" s="2" t="s">
        <v>16</v>
      </c>
      <c r="E7167" s="4">
        <f>136.19*(1-Z1%)</f>
        <v>136.19</v>
      </c>
      <c r="F7167" s="2">
        <v>5</v>
      </c>
      <c r="G7167" s="2"/>
    </row>
    <row r="7168" spans="1:26" customHeight="1" ht="36" hidden="true" outlineLevel="3">
      <c r="A7168" s="2" t="s">
        <v>13539</v>
      </c>
      <c r="B7168" s="3" t="s">
        <v>13540</v>
      </c>
      <c r="C7168" s="2"/>
      <c r="D7168" s="2" t="s">
        <v>16</v>
      </c>
      <c r="E7168" s="4">
        <f>100.19*(1-Z1%)</f>
        <v>100.19</v>
      </c>
      <c r="F7168" s="2">
        <v>5</v>
      </c>
      <c r="G7168" s="2"/>
    </row>
    <row r="7169" spans="1:26" customHeight="1" ht="36" hidden="true" outlineLevel="3">
      <c r="A7169" s="2" t="s">
        <v>13541</v>
      </c>
      <c r="B7169" s="3" t="s">
        <v>13542</v>
      </c>
      <c r="C7169" s="2"/>
      <c r="D7169" s="2" t="s">
        <v>16</v>
      </c>
      <c r="E7169" s="4">
        <f>100.19*(1-Z1%)</f>
        <v>100.19</v>
      </c>
      <c r="F7169" s="2">
        <v>5</v>
      </c>
      <c r="G7169" s="2"/>
    </row>
    <row r="7170" spans="1:26" customHeight="1" ht="36" hidden="true" outlineLevel="3">
      <c r="A7170" s="2" t="s">
        <v>13543</v>
      </c>
      <c r="B7170" s="3" t="s">
        <v>13544</v>
      </c>
      <c r="C7170" s="2"/>
      <c r="D7170" s="2" t="s">
        <v>16</v>
      </c>
      <c r="E7170" s="4">
        <f>288.83*(1-Z1%)</f>
        <v>288.83</v>
      </c>
      <c r="F7170" s="2">
        <v>2</v>
      </c>
      <c r="G7170" s="2"/>
    </row>
    <row r="7171" spans="1:26" customHeight="1" ht="36" hidden="true" outlineLevel="3">
      <c r="A7171" s="2" t="s">
        <v>13545</v>
      </c>
      <c r="B7171" s="3" t="s">
        <v>13546</v>
      </c>
      <c r="C7171" s="2"/>
      <c r="D7171" s="2" t="s">
        <v>16</v>
      </c>
      <c r="E7171" s="4">
        <f>65.59*(1-Z1%)</f>
        <v>65.59</v>
      </c>
      <c r="F7171" s="2">
        <v>4</v>
      </c>
      <c r="G7171" s="2"/>
    </row>
    <row r="7172" spans="1:26" customHeight="1" ht="36" hidden="true" outlineLevel="3">
      <c r="A7172" s="2" t="s">
        <v>13547</v>
      </c>
      <c r="B7172" s="3" t="s">
        <v>13548</v>
      </c>
      <c r="C7172" s="2"/>
      <c r="D7172" s="2" t="s">
        <v>16</v>
      </c>
      <c r="E7172" s="4">
        <f>56.70*(1-Z1%)</f>
        <v>56.7</v>
      </c>
      <c r="F7172" s="2">
        <v>8</v>
      </c>
      <c r="G7172" s="2"/>
    </row>
    <row r="7173" spans="1:26" customHeight="1" ht="36" hidden="true" outlineLevel="3">
      <c r="A7173" s="2" t="s">
        <v>13549</v>
      </c>
      <c r="B7173" s="3" t="s">
        <v>13550</v>
      </c>
      <c r="C7173" s="2"/>
      <c r="D7173" s="2" t="s">
        <v>16</v>
      </c>
      <c r="E7173" s="4">
        <f>68.90*(1-Z1%)</f>
        <v>68.9</v>
      </c>
      <c r="F7173" s="2">
        <v>10</v>
      </c>
      <c r="G7173" s="2"/>
    </row>
    <row r="7174" spans="1:26" customHeight="1" ht="36" hidden="true" outlineLevel="3">
      <c r="A7174" s="2" t="s">
        <v>13551</v>
      </c>
      <c r="B7174" s="3" t="s">
        <v>13552</v>
      </c>
      <c r="C7174" s="2"/>
      <c r="D7174" s="2" t="s">
        <v>16</v>
      </c>
      <c r="E7174" s="4">
        <f>51.56*(1-Z1%)</f>
        <v>51.56</v>
      </c>
      <c r="F7174" s="2">
        <v>5</v>
      </c>
      <c r="G7174" s="2"/>
    </row>
    <row r="7175" spans="1:26" customHeight="1" ht="36" hidden="true" outlineLevel="3">
      <c r="A7175" s="2" t="s">
        <v>13553</v>
      </c>
      <c r="B7175" s="3" t="s">
        <v>13554</v>
      </c>
      <c r="C7175" s="2"/>
      <c r="D7175" s="2" t="s">
        <v>16</v>
      </c>
      <c r="E7175" s="4">
        <f>110.12*(1-Z1%)</f>
        <v>110.12</v>
      </c>
      <c r="F7175" s="2">
        <v>7</v>
      </c>
      <c r="G7175" s="2"/>
    </row>
    <row r="7176" spans="1:26" customHeight="1" ht="36" hidden="true" outlineLevel="3">
      <c r="A7176" s="2" t="s">
        <v>13555</v>
      </c>
      <c r="B7176" s="3" t="s">
        <v>13556</v>
      </c>
      <c r="C7176" s="2"/>
      <c r="D7176" s="2" t="s">
        <v>16</v>
      </c>
      <c r="E7176" s="4">
        <f>72.62*(1-Z1%)</f>
        <v>72.62</v>
      </c>
      <c r="F7176" s="2">
        <v>6</v>
      </c>
      <c r="G7176" s="2"/>
    </row>
    <row r="7177" spans="1:26" customHeight="1" ht="36" hidden="true" outlineLevel="3">
      <c r="A7177" s="2" t="s">
        <v>13557</v>
      </c>
      <c r="B7177" s="3" t="s">
        <v>13558</v>
      </c>
      <c r="C7177" s="2"/>
      <c r="D7177" s="2" t="s">
        <v>16</v>
      </c>
      <c r="E7177" s="4">
        <f>159.76*(1-Z1%)</f>
        <v>159.76</v>
      </c>
      <c r="F7177" s="2">
        <v>5</v>
      </c>
      <c r="G7177" s="2"/>
    </row>
    <row r="7178" spans="1:26" customHeight="1" ht="36" hidden="true" outlineLevel="3">
      <c r="A7178" s="2" t="s">
        <v>13559</v>
      </c>
      <c r="B7178" s="3" t="s">
        <v>13560</v>
      </c>
      <c r="C7178" s="2"/>
      <c r="D7178" s="2" t="s">
        <v>16</v>
      </c>
      <c r="E7178" s="4">
        <f>137.76*(1-Z1%)</f>
        <v>137.76</v>
      </c>
      <c r="F7178" s="2">
        <v>10</v>
      </c>
      <c r="G7178" s="2"/>
    </row>
    <row r="7179" spans="1:26" customHeight="1" ht="36" hidden="true" outlineLevel="3">
      <c r="A7179" s="2" t="s">
        <v>13561</v>
      </c>
      <c r="B7179" s="3" t="s">
        <v>13562</v>
      </c>
      <c r="C7179" s="2"/>
      <c r="D7179" s="2" t="s">
        <v>16</v>
      </c>
      <c r="E7179" s="4">
        <f>137.20*(1-Z1%)</f>
        <v>137.2</v>
      </c>
      <c r="F7179" s="2">
        <v>14</v>
      </c>
      <c r="G7179" s="2"/>
    </row>
    <row r="7180" spans="1:26" customHeight="1" ht="36" hidden="true" outlineLevel="3">
      <c r="A7180" s="2" t="s">
        <v>13563</v>
      </c>
      <c r="B7180" s="3" t="s">
        <v>13564</v>
      </c>
      <c r="C7180" s="2"/>
      <c r="D7180" s="2" t="s">
        <v>16</v>
      </c>
      <c r="E7180" s="4">
        <f>98.39*(1-Z1%)</f>
        <v>98.39</v>
      </c>
      <c r="F7180" s="2">
        <v>8</v>
      </c>
      <c r="G7180" s="2"/>
    </row>
    <row r="7181" spans="1:26" customHeight="1" ht="36" hidden="true" outlineLevel="3">
      <c r="A7181" s="2" t="s">
        <v>13565</v>
      </c>
      <c r="B7181" s="3" t="s">
        <v>13566</v>
      </c>
      <c r="C7181" s="2"/>
      <c r="D7181" s="2" t="s">
        <v>16</v>
      </c>
      <c r="E7181" s="4">
        <f>147.94*(1-Z1%)</f>
        <v>147.94</v>
      </c>
      <c r="F7181" s="2">
        <v>2</v>
      </c>
      <c r="G7181" s="2"/>
    </row>
    <row r="7182" spans="1:26" customHeight="1" ht="36" hidden="true" outlineLevel="3">
      <c r="A7182" s="2" t="s">
        <v>13567</v>
      </c>
      <c r="B7182" s="3" t="s">
        <v>13568</v>
      </c>
      <c r="C7182" s="2"/>
      <c r="D7182" s="2" t="s">
        <v>16</v>
      </c>
      <c r="E7182" s="4">
        <f>78.54*(1-Z1%)</f>
        <v>78.54</v>
      </c>
      <c r="F7182" s="2">
        <v>15</v>
      </c>
      <c r="G7182" s="2"/>
    </row>
    <row r="7183" spans="1:26" customHeight="1" ht="36" hidden="true" outlineLevel="3">
      <c r="A7183" s="2" t="s">
        <v>13569</v>
      </c>
      <c r="B7183" s="3" t="s">
        <v>13570</v>
      </c>
      <c r="C7183" s="2"/>
      <c r="D7183" s="2" t="s">
        <v>16</v>
      </c>
      <c r="E7183" s="4">
        <f>73.49*(1-Z1%)</f>
        <v>73.49</v>
      </c>
      <c r="F7183" s="2">
        <v>10</v>
      </c>
      <c r="G7183" s="2"/>
    </row>
    <row r="7184" spans="1:26" customHeight="1" ht="36" hidden="true" outlineLevel="3">
      <c r="A7184" s="2" t="s">
        <v>13571</v>
      </c>
      <c r="B7184" s="3" t="s">
        <v>13572</v>
      </c>
      <c r="C7184" s="2"/>
      <c r="D7184" s="2" t="s">
        <v>16</v>
      </c>
      <c r="E7184" s="4">
        <f>82.62*(1-Z1%)</f>
        <v>82.62</v>
      </c>
      <c r="F7184" s="2">
        <v>21</v>
      </c>
      <c r="G7184" s="2"/>
    </row>
    <row r="7185" spans="1:26" customHeight="1" ht="36" hidden="true" outlineLevel="3">
      <c r="A7185" s="2" t="s">
        <v>13573</v>
      </c>
      <c r="B7185" s="3" t="s">
        <v>13574</v>
      </c>
      <c r="C7185" s="2"/>
      <c r="D7185" s="2" t="s">
        <v>16</v>
      </c>
      <c r="E7185" s="4">
        <f>65.19*(1-Z1%)</f>
        <v>65.19</v>
      </c>
      <c r="F7185" s="2">
        <v>9</v>
      </c>
      <c r="G7185" s="2"/>
    </row>
    <row r="7186" spans="1:26" customHeight="1" ht="36" hidden="true" outlineLevel="3">
      <c r="A7186" s="2" t="s">
        <v>13575</v>
      </c>
      <c r="B7186" s="3" t="s">
        <v>13576</v>
      </c>
      <c r="C7186" s="2"/>
      <c r="D7186" s="2" t="s">
        <v>16</v>
      </c>
      <c r="E7186" s="4">
        <f>153.67*(1-Z1%)</f>
        <v>153.67</v>
      </c>
      <c r="F7186" s="2">
        <v>14</v>
      </c>
      <c r="G7186" s="2"/>
    </row>
    <row r="7187" spans="1:26" customHeight="1" ht="36" hidden="true" outlineLevel="3">
      <c r="A7187" s="2" t="s">
        <v>13577</v>
      </c>
      <c r="B7187" s="3" t="s">
        <v>13578</v>
      </c>
      <c r="C7187" s="2"/>
      <c r="D7187" s="2" t="s">
        <v>16</v>
      </c>
      <c r="E7187" s="4">
        <f>147.38*(1-Z1%)</f>
        <v>147.38</v>
      </c>
      <c r="F7187" s="2">
        <v>10</v>
      </c>
      <c r="G7187" s="2"/>
    </row>
    <row r="7188" spans="1:26" customHeight="1" ht="36" hidden="true" outlineLevel="3">
      <c r="A7188" s="2" t="s">
        <v>13579</v>
      </c>
      <c r="B7188" s="3" t="s">
        <v>13580</v>
      </c>
      <c r="C7188" s="2"/>
      <c r="D7188" s="2" t="s">
        <v>16</v>
      </c>
      <c r="E7188" s="4">
        <f>97.94*(1-Z1%)</f>
        <v>97.94</v>
      </c>
      <c r="F7188" s="2">
        <v>10</v>
      </c>
      <c r="G7188" s="2"/>
    </row>
    <row r="7189" spans="1:26" customHeight="1" ht="36" hidden="true" outlineLevel="3">
      <c r="A7189" s="2" t="s">
        <v>13581</v>
      </c>
      <c r="B7189" s="3" t="s">
        <v>13582</v>
      </c>
      <c r="C7189" s="2"/>
      <c r="D7189" s="2" t="s">
        <v>16</v>
      </c>
      <c r="E7189" s="4">
        <f>183.50*(1-Z1%)</f>
        <v>183.5</v>
      </c>
      <c r="F7189" s="2">
        <v>17</v>
      </c>
      <c r="G7189" s="2"/>
    </row>
    <row r="7190" spans="1:26" customHeight="1" ht="36" hidden="true" outlineLevel="3">
      <c r="A7190" s="2" t="s">
        <v>13583</v>
      </c>
      <c r="B7190" s="3" t="s">
        <v>13584</v>
      </c>
      <c r="C7190" s="2"/>
      <c r="D7190" s="2" t="s">
        <v>16</v>
      </c>
      <c r="E7190" s="4">
        <f>115.80*(1-Z1%)</f>
        <v>115.8</v>
      </c>
      <c r="F7190" s="2">
        <v>16</v>
      </c>
      <c r="G7190" s="2"/>
    </row>
    <row r="7191" spans="1:26" customHeight="1" ht="36" hidden="true" outlineLevel="3">
      <c r="A7191" s="2" t="s">
        <v>13585</v>
      </c>
      <c r="B7191" s="3" t="s">
        <v>13586</v>
      </c>
      <c r="C7191" s="2"/>
      <c r="D7191" s="2" t="s">
        <v>16</v>
      </c>
      <c r="E7191" s="4">
        <f>79.09*(1-Z1%)</f>
        <v>79.09</v>
      </c>
      <c r="F7191" s="2">
        <v>5</v>
      </c>
      <c r="G7191" s="2"/>
    </row>
    <row r="7192" spans="1:26" customHeight="1" ht="36" hidden="true" outlineLevel="3">
      <c r="A7192" s="2" t="s">
        <v>13587</v>
      </c>
      <c r="B7192" s="3" t="s">
        <v>13588</v>
      </c>
      <c r="C7192" s="2"/>
      <c r="D7192" s="2" t="s">
        <v>16</v>
      </c>
      <c r="E7192" s="4">
        <f>67.19*(1-Z1%)</f>
        <v>67.19</v>
      </c>
      <c r="F7192" s="2">
        <v>4</v>
      </c>
      <c r="G7192" s="2"/>
    </row>
    <row r="7193" spans="1:26" customHeight="1" ht="18" hidden="true" outlineLevel="3">
      <c r="A7193" s="2" t="s">
        <v>13589</v>
      </c>
      <c r="B7193" s="3" t="s">
        <v>13590</v>
      </c>
      <c r="C7193" s="2"/>
      <c r="D7193" s="2" t="s">
        <v>16</v>
      </c>
      <c r="E7193" s="4">
        <f>180.32*(1-Z1%)</f>
        <v>180.32</v>
      </c>
      <c r="F7193" s="2">
        <v>2</v>
      </c>
      <c r="G7193" s="2"/>
    </row>
    <row r="7194" spans="1:26" customHeight="1" ht="36" hidden="true" outlineLevel="3">
      <c r="A7194" s="2" t="s">
        <v>13591</v>
      </c>
      <c r="B7194" s="3" t="s">
        <v>13592</v>
      </c>
      <c r="C7194" s="2"/>
      <c r="D7194" s="2" t="s">
        <v>16</v>
      </c>
      <c r="E7194" s="4">
        <f>57.86*(1-Z1%)</f>
        <v>57.86</v>
      </c>
      <c r="F7194" s="2">
        <v>14</v>
      </c>
      <c r="G7194" s="2"/>
    </row>
    <row r="7195" spans="1:26" customHeight="1" ht="36" hidden="true" outlineLevel="3">
      <c r="A7195" s="2" t="s">
        <v>13593</v>
      </c>
      <c r="B7195" s="3" t="s">
        <v>13594</v>
      </c>
      <c r="C7195" s="2"/>
      <c r="D7195" s="2" t="s">
        <v>16</v>
      </c>
      <c r="E7195" s="4">
        <f>125.59*(1-Z1%)</f>
        <v>125.59</v>
      </c>
      <c r="F7195" s="2">
        <v>12</v>
      </c>
      <c r="G7195" s="2"/>
    </row>
    <row r="7196" spans="1:26" customHeight="1" ht="36" hidden="true" outlineLevel="3">
      <c r="A7196" s="2" t="s">
        <v>13595</v>
      </c>
      <c r="B7196" s="3" t="s">
        <v>13596</v>
      </c>
      <c r="C7196" s="2"/>
      <c r="D7196" s="2" t="s">
        <v>16</v>
      </c>
      <c r="E7196" s="4">
        <f>326.26*(1-Z1%)</f>
        <v>326.26</v>
      </c>
      <c r="F7196" s="2">
        <v>7</v>
      </c>
      <c r="G7196" s="2"/>
    </row>
    <row r="7197" spans="1:26" customHeight="1" ht="36" hidden="true" outlineLevel="3">
      <c r="A7197" s="2" t="s">
        <v>13597</v>
      </c>
      <c r="B7197" s="3" t="s">
        <v>13598</v>
      </c>
      <c r="C7197" s="2"/>
      <c r="D7197" s="2" t="s">
        <v>16</v>
      </c>
      <c r="E7197" s="4">
        <f>312.35*(1-Z1%)</f>
        <v>312.35</v>
      </c>
      <c r="F7197" s="2">
        <v>8</v>
      </c>
      <c r="G7197" s="2"/>
    </row>
    <row r="7198" spans="1:26" customHeight="1" ht="36" hidden="true" outlineLevel="3">
      <c r="A7198" s="2" t="s">
        <v>13599</v>
      </c>
      <c r="B7198" s="3" t="s">
        <v>13600</v>
      </c>
      <c r="C7198" s="2"/>
      <c r="D7198" s="2" t="s">
        <v>16</v>
      </c>
      <c r="E7198" s="4">
        <f>163.86*(1-Z1%)</f>
        <v>163.86</v>
      </c>
      <c r="F7198" s="2">
        <v>9</v>
      </c>
      <c r="G7198" s="2"/>
    </row>
    <row r="7199" spans="1:26" customHeight="1" ht="36" hidden="true" outlineLevel="3">
      <c r="A7199" s="2" t="s">
        <v>13601</v>
      </c>
      <c r="B7199" s="3" t="s">
        <v>13602</v>
      </c>
      <c r="C7199" s="2"/>
      <c r="D7199" s="2" t="s">
        <v>16</v>
      </c>
      <c r="E7199" s="4">
        <f>317.94*(1-Z1%)</f>
        <v>317.94</v>
      </c>
      <c r="F7199" s="2">
        <v>3</v>
      </c>
      <c r="G7199" s="2"/>
    </row>
    <row r="7200" spans="1:26" customHeight="1" ht="36" hidden="true" outlineLevel="3">
      <c r="A7200" s="2" t="s">
        <v>13603</v>
      </c>
      <c r="B7200" s="3" t="s">
        <v>13604</v>
      </c>
      <c r="C7200" s="2"/>
      <c r="D7200" s="2" t="s">
        <v>16</v>
      </c>
      <c r="E7200" s="4">
        <f>312.59*(1-Z1%)</f>
        <v>312.59</v>
      </c>
      <c r="F7200" s="2">
        <v>3</v>
      </c>
      <c r="G7200" s="2"/>
    </row>
    <row r="7201" spans="1:26" customHeight="1" ht="36" hidden="true" outlineLevel="3">
      <c r="A7201" s="2" t="s">
        <v>13605</v>
      </c>
      <c r="B7201" s="3" t="s">
        <v>13606</v>
      </c>
      <c r="C7201" s="2"/>
      <c r="D7201" s="2" t="s">
        <v>16</v>
      </c>
      <c r="E7201" s="4">
        <f>395.56*(1-Z1%)</f>
        <v>395.56</v>
      </c>
      <c r="F7201" s="2">
        <v>2</v>
      </c>
      <c r="G7201" s="2"/>
    </row>
    <row r="7202" spans="1:26" customHeight="1" ht="35" hidden="true" outlineLevel="3">
      <c r="A7202" s="5" t="s">
        <v>13607</v>
      </c>
      <c r="B7202" s="5"/>
      <c r="C7202" s="5"/>
      <c r="D7202" s="5"/>
      <c r="E7202" s="5"/>
      <c r="F7202" s="5"/>
      <c r="G7202" s="5"/>
    </row>
    <row r="7203" spans="1:26" customHeight="1" ht="18" hidden="true" outlineLevel="3">
      <c r="A7203" s="2" t="s">
        <v>13608</v>
      </c>
      <c r="B7203" s="3" t="s">
        <v>13609</v>
      </c>
      <c r="C7203" s="2"/>
      <c r="D7203" s="2" t="s">
        <v>16</v>
      </c>
      <c r="E7203" s="4">
        <f>83.02*(1-Z1%)</f>
        <v>83.02</v>
      </c>
      <c r="F7203" s="2">
        <v>7</v>
      </c>
      <c r="G7203" s="2"/>
    </row>
    <row r="7204" spans="1:26" customHeight="1" ht="18" hidden="true" outlineLevel="3">
      <c r="A7204" s="2" t="s">
        <v>13610</v>
      </c>
      <c r="B7204" s="3" t="s">
        <v>13611</v>
      </c>
      <c r="C7204" s="2"/>
      <c r="D7204" s="2" t="s">
        <v>16</v>
      </c>
      <c r="E7204" s="4">
        <f>60.25*(1-Z1%)</f>
        <v>60.25</v>
      </c>
      <c r="F7204" s="2">
        <v>3</v>
      </c>
      <c r="G7204" s="2"/>
    </row>
    <row r="7205" spans="1:26" customHeight="1" ht="18" hidden="true" outlineLevel="3">
      <c r="A7205" s="2" t="s">
        <v>13612</v>
      </c>
      <c r="B7205" s="3" t="s">
        <v>13613</v>
      </c>
      <c r="C7205" s="2"/>
      <c r="D7205" s="2" t="s">
        <v>16</v>
      </c>
      <c r="E7205" s="4">
        <f>74.87*(1-Z1%)</f>
        <v>74.87</v>
      </c>
      <c r="F7205" s="2">
        <v>20</v>
      </c>
      <c r="G7205" s="2"/>
    </row>
    <row r="7206" spans="1:26" customHeight="1" ht="18" hidden="true" outlineLevel="3">
      <c r="A7206" s="2" t="s">
        <v>13614</v>
      </c>
      <c r="B7206" s="3" t="s">
        <v>13615</v>
      </c>
      <c r="C7206" s="2"/>
      <c r="D7206" s="2" t="s">
        <v>16</v>
      </c>
      <c r="E7206" s="4">
        <f>73.76*(1-Z1%)</f>
        <v>73.76</v>
      </c>
      <c r="F7206" s="2">
        <v>7</v>
      </c>
      <c r="G7206" s="2"/>
    </row>
    <row r="7207" spans="1:26" customHeight="1" ht="18" hidden="true" outlineLevel="3">
      <c r="A7207" s="2" t="s">
        <v>13616</v>
      </c>
      <c r="B7207" s="3" t="s">
        <v>13617</v>
      </c>
      <c r="C7207" s="2"/>
      <c r="D7207" s="2" t="s">
        <v>16</v>
      </c>
      <c r="E7207" s="4">
        <f>59.07*(1-Z1%)</f>
        <v>59.07</v>
      </c>
      <c r="F7207" s="2">
        <v>17</v>
      </c>
      <c r="G7207" s="2"/>
    </row>
    <row r="7208" spans="1:26" customHeight="1" ht="36" hidden="true" outlineLevel="3">
      <c r="A7208" s="2" t="s">
        <v>13618</v>
      </c>
      <c r="B7208" s="3" t="s">
        <v>13619</v>
      </c>
      <c r="C7208" s="2"/>
      <c r="D7208" s="2" t="s">
        <v>16</v>
      </c>
      <c r="E7208" s="4">
        <f>59.07*(1-Z1%)</f>
        <v>59.07</v>
      </c>
      <c r="F7208" s="2">
        <v>5</v>
      </c>
      <c r="G7208" s="2"/>
    </row>
    <row r="7209" spans="1:26" customHeight="1" ht="18" hidden="true" outlineLevel="3">
      <c r="A7209" s="2" t="s">
        <v>13620</v>
      </c>
      <c r="B7209" s="3" t="s">
        <v>13621</v>
      </c>
      <c r="C7209" s="2"/>
      <c r="D7209" s="2" t="s">
        <v>16</v>
      </c>
      <c r="E7209" s="4">
        <f>90.15*(1-Z1%)</f>
        <v>90.15</v>
      </c>
      <c r="F7209" s="2">
        <v>4</v>
      </c>
      <c r="G7209" s="2"/>
    </row>
    <row r="7210" spans="1:26" customHeight="1" ht="36" hidden="true" outlineLevel="3">
      <c r="A7210" s="2" t="s">
        <v>13622</v>
      </c>
      <c r="B7210" s="3" t="s">
        <v>13623</v>
      </c>
      <c r="C7210" s="2"/>
      <c r="D7210" s="2" t="s">
        <v>16</v>
      </c>
      <c r="E7210" s="4">
        <f>86.69*(1-Z1%)</f>
        <v>86.69</v>
      </c>
      <c r="F7210" s="2">
        <v>17</v>
      </c>
      <c r="G7210" s="2"/>
    </row>
    <row r="7211" spans="1:26" customHeight="1" ht="18" hidden="true" outlineLevel="3">
      <c r="A7211" s="2" t="s">
        <v>13624</v>
      </c>
      <c r="B7211" s="3" t="s">
        <v>13625</v>
      </c>
      <c r="C7211" s="2"/>
      <c r="D7211" s="2" t="s">
        <v>16</v>
      </c>
      <c r="E7211" s="4">
        <f>82.30*(1-Z1%)</f>
        <v>82.3</v>
      </c>
      <c r="F7211" s="2">
        <v>6</v>
      </c>
      <c r="G7211" s="2"/>
    </row>
    <row r="7212" spans="1:26" customHeight="1" ht="36" hidden="true" outlineLevel="3">
      <c r="A7212" s="2" t="s">
        <v>13626</v>
      </c>
      <c r="B7212" s="3" t="s">
        <v>13627</v>
      </c>
      <c r="C7212" s="2"/>
      <c r="D7212" s="2" t="s">
        <v>16</v>
      </c>
      <c r="E7212" s="4">
        <f>75.46*(1-Z1%)</f>
        <v>75.46</v>
      </c>
      <c r="F7212" s="2">
        <v>7</v>
      </c>
      <c r="G7212" s="2"/>
    </row>
    <row r="7213" spans="1:26" customHeight="1" ht="36" hidden="true" outlineLevel="3">
      <c r="A7213" s="2" t="s">
        <v>13628</v>
      </c>
      <c r="B7213" s="3" t="s">
        <v>13629</v>
      </c>
      <c r="C7213" s="2"/>
      <c r="D7213" s="2" t="s">
        <v>16</v>
      </c>
      <c r="E7213" s="4">
        <f>74.04*(1-Z1%)</f>
        <v>74.04</v>
      </c>
      <c r="F7213" s="2">
        <v>17</v>
      </c>
      <c r="G7213" s="2"/>
    </row>
    <row r="7214" spans="1:26" customHeight="1" ht="36" hidden="true" outlineLevel="3">
      <c r="A7214" s="2" t="s">
        <v>13630</v>
      </c>
      <c r="B7214" s="3" t="s">
        <v>13631</v>
      </c>
      <c r="C7214" s="2"/>
      <c r="D7214" s="2" t="s">
        <v>16</v>
      </c>
      <c r="E7214" s="4">
        <f>146.76*(1-Z1%)</f>
        <v>146.76</v>
      </c>
      <c r="F7214" s="2">
        <v>4</v>
      </c>
      <c r="G7214" s="2"/>
    </row>
    <row r="7215" spans="1:26" customHeight="1" ht="36" hidden="true" outlineLevel="3">
      <c r="A7215" s="2" t="s">
        <v>13632</v>
      </c>
      <c r="B7215" s="3" t="s">
        <v>13633</v>
      </c>
      <c r="C7215" s="2"/>
      <c r="D7215" s="2" t="s">
        <v>16</v>
      </c>
      <c r="E7215" s="4">
        <f>146.76*(1-Z1%)</f>
        <v>146.76</v>
      </c>
      <c r="F7215" s="2">
        <v>54</v>
      </c>
      <c r="G7215" s="2"/>
    </row>
    <row r="7216" spans="1:26" customHeight="1" ht="36" hidden="true" outlineLevel="3">
      <c r="A7216" s="2" t="s">
        <v>13634</v>
      </c>
      <c r="B7216" s="3" t="s">
        <v>13635</v>
      </c>
      <c r="C7216" s="2"/>
      <c r="D7216" s="2" t="s">
        <v>16</v>
      </c>
      <c r="E7216" s="4">
        <f>183.10*(1-Z1%)</f>
        <v>183.1</v>
      </c>
      <c r="F7216" s="2">
        <v>39</v>
      </c>
      <c r="G7216" s="2"/>
    </row>
    <row r="7217" spans="1:26" customHeight="1" ht="36" hidden="true" outlineLevel="3">
      <c r="A7217" s="2" t="s">
        <v>13636</v>
      </c>
      <c r="B7217" s="3" t="s">
        <v>13637</v>
      </c>
      <c r="C7217" s="2"/>
      <c r="D7217" s="2" t="s">
        <v>16</v>
      </c>
      <c r="E7217" s="4">
        <f>105.73*(1-Z1%)</f>
        <v>105.73</v>
      </c>
      <c r="F7217" s="2">
        <v>2</v>
      </c>
      <c r="G7217" s="2"/>
    </row>
    <row r="7218" spans="1:26" customHeight="1" ht="18" hidden="true" outlineLevel="3">
      <c r="A7218" s="2" t="s">
        <v>13638</v>
      </c>
      <c r="B7218" s="3" t="s">
        <v>13639</v>
      </c>
      <c r="C7218" s="2"/>
      <c r="D7218" s="2" t="s">
        <v>16</v>
      </c>
      <c r="E7218" s="4">
        <f>122.64*(1-Z1%)</f>
        <v>122.64</v>
      </c>
      <c r="F7218" s="2">
        <v>9</v>
      </c>
      <c r="G7218" s="2"/>
    </row>
    <row r="7219" spans="1:26" customHeight="1" ht="18" hidden="true" outlineLevel="3">
      <c r="A7219" s="2" t="s">
        <v>13640</v>
      </c>
      <c r="B7219" s="3" t="s">
        <v>13641</v>
      </c>
      <c r="C7219" s="2"/>
      <c r="D7219" s="2" t="s">
        <v>16</v>
      </c>
      <c r="E7219" s="4">
        <f>81.68*(1-Z1%)</f>
        <v>81.68</v>
      </c>
      <c r="F7219" s="2">
        <v>9</v>
      </c>
      <c r="G7219" s="2"/>
    </row>
    <row r="7220" spans="1:26" customHeight="1" ht="36" hidden="true" outlineLevel="3">
      <c r="A7220" s="2" t="s">
        <v>13642</v>
      </c>
      <c r="B7220" s="3" t="s">
        <v>13643</v>
      </c>
      <c r="C7220" s="2"/>
      <c r="D7220" s="2" t="s">
        <v>16</v>
      </c>
      <c r="E7220" s="4">
        <f>85.76*(1-Z1%)</f>
        <v>85.76</v>
      </c>
      <c r="F7220" s="2">
        <v>9</v>
      </c>
      <c r="G7220" s="2"/>
    </row>
    <row r="7221" spans="1:26" customHeight="1" ht="36" hidden="true" outlineLevel="3">
      <c r="A7221" s="2" t="s">
        <v>13644</v>
      </c>
      <c r="B7221" s="3" t="s">
        <v>13645</v>
      </c>
      <c r="C7221" s="2"/>
      <c r="D7221" s="2" t="s">
        <v>16</v>
      </c>
      <c r="E7221" s="4">
        <f>204.81*(1-Z1%)</f>
        <v>204.81</v>
      </c>
      <c r="F7221" s="2">
        <v>3</v>
      </c>
      <c r="G7221" s="2"/>
    </row>
    <row r="7222" spans="1:26" customHeight="1" ht="18" hidden="true" outlineLevel="3">
      <c r="A7222" s="2" t="s">
        <v>13646</v>
      </c>
      <c r="B7222" s="3" t="s">
        <v>13647</v>
      </c>
      <c r="C7222" s="2"/>
      <c r="D7222" s="2" t="s">
        <v>16</v>
      </c>
      <c r="E7222" s="4">
        <f>122.64*(1-Z1%)</f>
        <v>122.64</v>
      </c>
      <c r="F7222" s="2">
        <v>6</v>
      </c>
      <c r="G7222" s="2"/>
    </row>
    <row r="7223" spans="1:26" customHeight="1" ht="35" hidden="true" outlineLevel="3">
      <c r="A7223" s="5" t="s">
        <v>13648</v>
      </c>
      <c r="B7223" s="5"/>
      <c r="C7223" s="5"/>
      <c r="D7223" s="5"/>
      <c r="E7223" s="5"/>
      <c r="F7223" s="5"/>
      <c r="G7223" s="5"/>
    </row>
    <row r="7224" spans="1:26" customHeight="1" ht="36" hidden="true" outlineLevel="3">
      <c r="A7224" s="2" t="s">
        <v>13649</v>
      </c>
      <c r="B7224" s="3" t="s">
        <v>13650</v>
      </c>
      <c r="C7224" s="2"/>
      <c r="D7224" s="2" t="s">
        <v>16</v>
      </c>
      <c r="E7224" s="4">
        <f>129.46*(1-Z1%)</f>
        <v>129.46</v>
      </c>
      <c r="F7224" s="2">
        <v>5</v>
      </c>
      <c r="G7224" s="2"/>
    </row>
    <row r="7225" spans="1:26" customHeight="1" ht="36" hidden="true" outlineLevel="3">
      <c r="A7225" s="2" t="s">
        <v>13651</v>
      </c>
      <c r="B7225" s="3" t="s">
        <v>13652</v>
      </c>
      <c r="C7225" s="2"/>
      <c r="D7225" s="2" t="s">
        <v>16</v>
      </c>
      <c r="E7225" s="4">
        <f>194.18*(1-Z1%)</f>
        <v>194.18</v>
      </c>
      <c r="F7225" s="2">
        <v>2</v>
      </c>
      <c r="G7225" s="2"/>
    </row>
    <row r="7226" spans="1:26" customHeight="1" ht="36" hidden="true" outlineLevel="3">
      <c r="A7226" s="2" t="s">
        <v>13653</v>
      </c>
      <c r="B7226" s="3" t="s">
        <v>13654</v>
      </c>
      <c r="C7226" s="2"/>
      <c r="D7226" s="2" t="s">
        <v>16</v>
      </c>
      <c r="E7226" s="4">
        <f>145.93*(1-Z1%)</f>
        <v>145.93</v>
      </c>
      <c r="F7226" s="2">
        <v>11</v>
      </c>
      <c r="G7226" s="2"/>
    </row>
    <row r="7227" spans="1:26" customHeight="1" ht="36" hidden="true" outlineLevel="3">
      <c r="A7227" s="2" t="s">
        <v>13655</v>
      </c>
      <c r="B7227" s="3" t="s">
        <v>13656</v>
      </c>
      <c r="C7227" s="2"/>
      <c r="D7227" s="2" t="s">
        <v>16</v>
      </c>
      <c r="E7227" s="4">
        <f>211.82*(1-Z1%)</f>
        <v>211.82</v>
      </c>
      <c r="F7227" s="2">
        <v>1</v>
      </c>
      <c r="G7227" s="2"/>
    </row>
    <row r="7228" spans="1:26" customHeight="1" ht="36" hidden="true" outlineLevel="3">
      <c r="A7228" s="2" t="s">
        <v>13657</v>
      </c>
      <c r="B7228" s="3" t="s">
        <v>13658</v>
      </c>
      <c r="C7228" s="2"/>
      <c r="D7228" s="2" t="s">
        <v>16</v>
      </c>
      <c r="E7228" s="4">
        <f>172.99*(1-Z1%)</f>
        <v>172.99</v>
      </c>
      <c r="F7228" s="2">
        <v>3</v>
      </c>
      <c r="G7228" s="2"/>
    </row>
    <row r="7229" spans="1:26" customHeight="1" ht="36" hidden="true" outlineLevel="3">
      <c r="A7229" s="2" t="s">
        <v>13659</v>
      </c>
      <c r="B7229" s="3" t="s">
        <v>13660</v>
      </c>
      <c r="C7229" s="2"/>
      <c r="D7229" s="2" t="s">
        <v>16</v>
      </c>
      <c r="E7229" s="4">
        <f>241.25*(1-Z1%)</f>
        <v>241.25</v>
      </c>
      <c r="F7229" s="2">
        <v>3</v>
      </c>
      <c r="G7229" s="2"/>
    </row>
    <row r="7230" spans="1:26" customHeight="1" ht="18" hidden="true" outlineLevel="3">
      <c r="A7230" s="2" t="s">
        <v>13661</v>
      </c>
      <c r="B7230" s="3" t="s">
        <v>13662</v>
      </c>
      <c r="C7230" s="2"/>
      <c r="D7230" s="2" t="s">
        <v>16</v>
      </c>
      <c r="E7230" s="4">
        <f>174.99*(1-Z1%)</f>
        <v>174.99</v>
      </c>
      <c r="F7230" s="2">
        <v>7</v>
      </c>
      <c r="G7230" s="2"/>
    </row>
    <row r="7231" spans="1:26" customHeight="1" ht="18" hidden="true" outlineLevel="3">
      <c r="A7231" s="2" t="s">
        <v>13663</v>
      </c>
      <c r="B7231" s="3" t="s">
        <v>13664</v>
      </c>
      <c r="C7231" s="2"/>
      <c r="D7231" s="2" t="s">
        <v>16</v>
      </c>
      <c r="E7231" s="4">
        <f>174.99*(1-Z1%)</f>
        <v>174.99</v>
      </c>
      <c r="F7231" s="2">
        <v>11</v>
      </c>
      <c r="G7231" s="2"/>
    </row>
    <row r="7232" spans="1:26" customHeight="1" ht="18" hidden="true" outlineLevel="3">
      <c r="A7232" s="2" t="s">
        <v>13665</v>
      </c>
      <c r="B7232" s="3" t="s">
        <v>13666</v>
      </c>
      <c r="C7232" s="2"/>
      <c r="D7232" s="2" t="s">
        <v>16</v>
      </c>
      <c r="E7232" s="4">
        <f>202.83*(1-Z1%)</f>
        <v>202.83</v>
      </c>
      <c r="F7232" s="2">
        <v>4</v>
      </c>
      <c r="G7232" s="2"/>
    </row>
    <row r="7233" spans="1:26" customHeight="1" ht="18" hidden="true" outlineLevel="3">
      <c r="A7233" s="2" t="s">
        <v>13667</v>
      </c>
      <c r="B7233" s="3" t="s">
        <v>13668</v>
      </c>
      <c r="C7233" s="2"/>
      <c r="D7233" s="2" t="s">
        <v>16</v>
      </c>
      <c r="E7233" s="4">
        <f>202.83*(1-Z1%)</f>
        <v>202.83</v>
      </c>
      <c r="F7233" s="2">
        <v>6</v>
      </c>
      <c r="G7233" s="2"/>
    </row>
    <row r="7234" spans="1:26" customHeight="1" ht="18" hidden="true" outlineLevel="3">
      <c r="A7234" s="2" t="s">
        <v>13669</v>
      </c>
      <c r="B7234" s="3" t="s">
        <v>13670</v>
      </c>
      <c r="C7234" s="2"/>
      <c r="D7234" s="2" t="s">
        <v>16</v>
      </c>
      <c r="E7234" s="4">
        <f>139.40*(1-Z1%)</f>
        <v>139.4</v>
      </c>
      <c r="F7234" s="2">
        <v>8</v>
      </c>
      <c r="G7234" s="2"/>
    </row>
    <row r="7235" spans="1:26" customHeight="1" ht="36" hidden="true" outlineLevel="3">
      <c r="A7235" s="2" t="s">
        <v>13671</v>
      </c>
      <c r="B7235" s="3" t="s">
        <v>13672</v>
      </c>
      <c r="C7235" s="2"/>
      <c r="D7235" s="2" t="s">
        <v>16</v>
      </c>
      <c r="E7235" s="4">
        <f>167.12*(1-Z1%)</f>
        <v>167.12</v>
      </c>
      <c r="F7235" s="2">
        <v>4</v>
      </c>
      <c r="G7235" s="2"/>
    </row>
    <row r="7236" spans="1:26" customHeight="1" ht="36" hidden="true" outlineLevel="3">
      <c r="A7236" s="2" t="s">
        <v>13673</v>
      </c>
      <c r="B7236" s="3" t="s">
        <v>13674</v>
      </c>
      <c r="C7236" s="2"/>
      <c r="D7236" s="2" t="s">
        <v>16</v>
      </c>
      <c r="E7236" s="4">
        <f>148.30*(1-Z1%)</f>
        <v>148.3</v>
      </c>
      <c r="F7236" s="2">
        <v>7</v>
      </c>
      <c r="G7236" s="2"/>
    </row>
    <row r="7237" spans="1:26" customHeight="1" ht="36" hidden="true" outlineLevel="3">
      <c r="A7237" s="2" t="s">
        <v>13675</v>
      </c>
      <c r="B7237" s="3" t="s">
        <v>13676</v>
      </c>
      <c r="C7237" s="2"/>
      <c r="D7237" s="2" t="s">
        <v>16</v>
      </c>
      <c r="E7237" s="4">
        <f>179.72*(1-Z1%)</f>
        <v>179.72</v>
      </c>
      <c r="F7237" s="2">
        <v>6</v>
      </c>
      <c r="G7237" s="2"/>
    </row>
    <row r="7238" spans="1:26" customHeight="1" ht="36" hidden="true" outlineLevel="3">
      <c r="A7238" s="2" t="s">
        <v>13677</v>
      </c>
      <c r="B7238" s="3" t="s">
        <v>13678</v>
      </c>
      <c r="C7238" s="2"/>
      <c r="D7238" s="2" t="s">
        <v>16</v>
      </c>
      <c r="E7238" s="4">
        <f>211.82*(1-Z1%)</f>
        <v>211.82</v>
      </c>
      <c r="F7238" s="2">
        <v>3</v>
      </c>
      <c r="G7238" s="2"/>
    </row>
    <row r="7239" spans="1:26" customHeight="1" ht="36" hidden="true" outlineLevel="3">
      <c r="A7239" s="2" t="s">
        <v>13679</v>
      </c>
      <c r="B7239" s="3" t="s">
        <v>13680</v>
      </c>
      <c r="C7239" s="2"/>
      <c r="D7239" s="2" t="s">
        <v>16</v>
      </c>
      <c r="E7239" s="4">
        <f>167.09*(1-Z1%)</f>
        <v>167.09</v>
      </c>
      <c r="F7239" s="2">
        <v>7</v>
      </c>
      <c r="G7239" s="2"/>
    </row>
    <row r="7240" spans="1:26" customHeight="1" ht="36" hidden="true" outlineLevel="3">
      <c r="A7240" s="2" t="s">
        <v>13681</v>
      </c>
      <c r="B7240" s="3" t="s">
        <v>13682</v>
      </c>
      <c r="C7240" s="2"/>
      <c r="D7240" s="2" t="s">
        <v>16</v>
      </c>
      <c r="E7240" s="4">
        <f>225.93*(1-Z1%)</f>
        <v>225.93</v>
      </c>
      <c r="F7240" s="2">
        <v>1</v>
      </c>
      <c r="G7240" s="2"/>
    </row>
    <row r="7241" spans="1:26" customHeight="1" ht="36" hidden="true" outlineLevel="3">
      <c r="A7241" s="2" t="s">
        <v>13683</v>
      </c>
      <c r="B7241" s="3" t="s">
        <v>13684</v>
      </c>
      <c r="C7241" s="2"/>
      <c r="D7241" s="2" t="s">
        <v>16</v>
      </c>
      <c r="E7241" s="4">
        <f>201.23*(1-Z1%)</f>
        <v>201.23</v>
      </c>
      <c r="F7241" s="2">
        <v>2</v>
      </c>
      <c r="G7241" s="2"/>
    </row>
    <row r="7242" spans="1:26" customHeight="1" ht="36" hidden="true" outlineLevel="3">
      <c r="A7242" s="2" t="s">
        <v>13685</v>
      </c>
      <c r="B7242" s="3" t="s">
        <v>13686</v>
      </c>
      <c r="C7242" s="2"/>
      <c r="D7242" s="2" t="s">
        <v>16</v>
      </c>
      <c r="E7242" s="4">
        <f>270.65*(1-Z1%)</f>
        <v>270.65</v>
      </c>
      <c r="F7242" s="2">
        <v>3</v>
      </c>
      <c r="G7242" s="2"/>
    </row>
    <row r="7243" spans="1:26" customHeight="1" ht="36" hidden="true" outlineLevel="3">
      <c r="A7243" s="2" t="s">
        <v>13687</v>
      </c>
      <c r="B7243" s="3" t="s">
        <v>13688</v>
      </c>
      <c r="C7243" s="2"/>
      <c r="D7243" s="2" t="s">
        <v>16</v>
      </c>
      <c r="E7243" s="4">
        <f>194.18*(1-Z1%)</f>
        <v>194.18</v>
      </c>
      <c r="F7243" s="2">
        <v>3</v>
      </c>
      <c r="G7243" s="2"/>
    </row>
    <row r="7244" spans="1:26" customHeight="1" ht="36" hidden="true" outlineLevel="3">
      <c r="A7244" s="2" t="s">
        <v>13689</v>
      </c>
      <c r="B7244" s="3" t="s">
        <v>13690</v>
      </c>
      <c r="C7244" s="2"/>
      <c r="D7244" s="2" t="s">
        <v>16</v>
      </c>
      <c r="E7244" s="4">
        <f>241.25*(1-Z1%)</f>
        <v>241.25</v>
      </c>
      <c r="F7244" s="2">
        <v>2</v>
      </c>
      <c r="G7244" s="2"/>
    </row>
    <row r="7245" spans="1:26" customHeight="1" ht="36" hidden="true" outlineLevel="3">
      <c r="A7245" s="2" t="s">
        <v>13691</v>
      </c>
      <c r="B7245" s="3" t="s">
        <v>13692</v>
      </c>
      <c r="C7245" s="2"/>
      <c r="D7245" s="2" t="s">
        <v>16</v>
      </c>
      <c r="E7245" s="4">
        <f>211.82*(1-Z1%)</f>
        <v>211.82</v>
      </c>
      <c r="F7245" s="2">
        <v>3</v>
      </c>
      <c r="G7245" s="2"/>
    </row>
    <row r="7246" spans="1:26" customHeight="1" ht="36" hidden="true" outlineLevel="3">
      <c r="A7246" s="2" t="s">
        <v>13693</v>
      </c>
      <c r="B7246" s="3" t="s">
        <v>13694</v>
      </c>
      <c r="C7246" s="2"/>
      <c r="D7246" s="2" t="s">
        <v>16</v>
      </c>
      <c r="E7246" s="4">
        <f>264.78*(1-Z1%)</f>
        <v>264.78</v>
      </c>
      <c r="F7246" s="2">
        <v>1</v>
      </c>
      <c r="G7246" s="2"/>
    </row>
    <row r="7247" spans="1:26" customHeight="1" ht="35" hidden="true" outlineLevel="2">
      <c r="A7247" s="5" t="s">
        <v>13695</v>
      </c>
      <c r="B7247" s="5"/>
      <c r="C7247" s="5"/>
      <c r="D7247" s="5"/>
      <c r="E7247" s="5"/>
      <c r="F7247" s="5"/>
      <c r="G7247" s="5"/>
    </row>
    <row r="7248" spans="1:26" customHeight="1" ht="35" hidden="true" outlineLevel="3">
      <c r="A7248" s="5" t="s">
        <v>13696</v>
      </c>
      <c r="B7248" s="5"/>
      <c r="C7248" s="5"/>
      <c r="D7248" s="5"/>
      <c r="E7248" s="5"/>
      <c r="F7248" s="5"/>
      <c r="G7248" s="5"/>
    </row>
    <row r="7249" spans="1:26" customHeight="1" ht="36" hidden="true" outlineLevel="3">
      <c r="A7249" s="2" t="s">
        <v>13697</v>
      </c>
      <c r="B7249" s="3" t="s">
        <v>13698</v>
      </c>
      <c r="C7249" s="2"/>
      <c r="D7249" s="2" t="s">
        <v>16</v>
      </c>
      <c r="E7249" s="4">
        <f>50.80*(1-Z1%)</f>
        <v>50.8</v>
      </c>
      <c r="F7249" s="2">
        <v>1</v>
      </c>
      <c r="G7249" s="2"/>
    </row>
    <row r="7250" spans="1:26" customHeight="1" ht="36" hidden="true" outlineLevel="3">
      <c r="A7250" s="2" t="s">
        <v>13699</v>
      </c>
      <c r="B7250" s="3" t="s">
        <v>13700</v>
      </c>
      <c r="C7250" s="2"/>
      <c r="D7250" s="2" t="s">
        <v>16</v>
      </c>
      <c r="E7250" s="4">
        <f>94.50*(1-Z1%)</f>
        <v>94.5</v>
      </c>
      <c r="F7250" s="2">
        <v>1</v>
      </c>
      <c r="G7250" s="2"/>
    </row>
    <row r="7251" spans="1:26" customHeight="1" ht="36" hidden="true" outlineLevel="3">
      <c r="A7251" s="2" t="s">
        <v>13701</v>
      </c>
      <c r="B7251" s="3" t="s">
        <v>13702</v>
      </c>
      <c r="C7251" s="2"/>
      <c r="D7251" s="2" t="s">
        <v>16</v>
      </c>
      <c r="E7251" s="4">
        <f>200.82*(1-Z1%)</f>
        <v>200.82</v>
      </c>
      <c r="F7251" s="2">
        <v>1</v>
      </c>
      <c r="G7251" s="2"/>
    </row>
    <row r="7252" spans="1:26" customHeight="1" ht="18" hidden="true" outlineLevel="3">
      <c r="A7252" s="2" t="s">
        <v>13703</v>
      </c>
      <c r="B7252" s="3" t="s">
        <v>13704</v>
      </c>
      <c r="C7252" s="2"/>
      <c r="D7252" s="2" t="s">
        <v>16</v>
      </c>
      <c r="E7252" s="4">
        <f>19.06*(1-Z1%)</f>
        <v>19.06</v>
      </c>
      <c r="F7252" s="2">
        <v>41</v>
      </c>
      <c r="G7252" s="2"/>
    </row>
    <row r="7253" spans="1:26" customHeight="1" ht="18" hidden="true" outlineLevel="3">
      <c r="A7253" s="2" t="s">
        <v>13705</v>
      </c>
      <c r="B7253" s="3" t="s">
        <v>13706</v>
      </c>
      <c r="C7253" s="2"/>
      <c r="D7253" s="2" t="s">
        <v>16</v>
      </c>
      <c r="E7253" s="4">
        <f>19.06*(1-Z1%)</f>
        <v>19.06</v>
      </c>
      <c r="F7253" s="2">
        <v>18</v>
      </c>
      <c r="G7253" s="2"/>
    </row>
    <row r="7254" spans="1:26" customHeight="1" ht="36" hidden="true" outlineLevel="3">
      <c r="A7254" s="2" t="s">
        <v>13707</v>
      </c>
      <c r="B7254" s="3" t="s">
        <v>13708</v>
      </c>
      <c r="C7254" s="2"/>
      <c r="D7254" s="2" t="s">
        <v>16</v>
      </c>
      <c r="E7254" s="4">
        <f>20.59*(1-Z1%)</f>
        <v>20.59</v>
      </c>
      <c r="F7254" s="2">
        <v>13</v>
      </c>
      <c r="G7254" s="2"/>
    </row>
    <row r="7255" spans="1:26" customHeight="1" ht="18" hidden="true" outlineLevel="3">
      <c r="A7255" s="2" t="s">
        <v>13709</v>
      </c>
      <c r="B7255" s="3" t="s">
        <v>13710</v>
      </c>
      <c r="C7255" s="2"/>
      <c r="D7255" s="2" t="s">
        <v>16</v>
      </c>
      <c r="E7255" s="4">
        <f>19.06*(1-Z1%)</f>
        <v>19.06</v>
      </c>
      <c r="F7255" s="2">
        <v>18</v>
      </c>
      <c r="G7255" s="2"/>
    </row>
    <row r="7256" spans="1:26" customHeight="1" ht="18" hidden="true" outlineLevel="3">
      <c r="A7256" s="2" t="s">
        <v>13711</v>
      </c>
      <c r="B7256" s="3" t="s">
        <v>13712</v>
      </c>
      <c r="C7256" s="2"/>
      <c r="D7256" s="2" t="s">
        <v>16</v>
      </c>
      <c r="E7256" s="4">
        <f>19.06*(1-Z1%)</f>
        <v>19.06</v>
      </c>
      <c r="F7256" s="2">
        <v>25</v>
      </c>
      <c r="G7256" s="2"/>
    </row>
    <row r="7257" spans="1:26" customHeight="1" ht="36" hidden="true" outlineLevel="3">
      <c r="A7257" s="2" t="s">
        <v>13713</v>
      </c>
      <c r="B7257" s="3" t="s">
        <v>13714</v>
      </c>
      <c r="C7257" s="2"/>
      <c r="D7257" s="2" t="s">
        <v>16</v>
      </c>
      <c r="E7257" s="4">
        <f>105.81*(1-Z1%)</f>
        <v>105.81</v>
      </c>
      <c r="F7257" s="2">
        <v>10</v>
      </c>
      <c r="G7257" s="2"/>
    </row>
    <row r="7258" spans="1:26" customHeight="1" ht="18" hidden="true" outlineLevel="3">
      <c r="A7258" s="2" t="s">
        <v>13715</v>
      </c>
      <c r="B7258" s="3" t="s">
        <v>13716</v>
      </c>
      <c r="C7258" s="2"/>
      <c r="D7258" s="2" t="s">
        <v>16</v>
      </c>
      <c r="E7258" s="4">
        <f>19.06*(1-Z1%)</f>
        <v>19.06</v>
      </c>
      <c r="F7258" s="2">
        <v>20</v>
      </c>
      <c r="G7258" s="2"/>
    </row>
    <row r="7259" spans="1:26" customHeight="1" ht="18" hidden="true" outlineLevel="3">
      <c r="A7259" s="2" t="s">
        <v>13717</v>
      </c>
      <c r="B7259" s="3" t="s">
        <v>13718</v>
      </c>
      <c r="C7259" s="2"/>
      <c r="D7259" s="2" t="s">
        <v>16</v>
      </c>
      <c r="E7259" s="4">
        <f>19.06*(1-Z1%)</f>
        <v>19.06</v>
      </c>
      <c r="F7259" s="2">
        <v>31</v>
      </c>
      <c r="G7259" s="2"/>
    </row>
    <row r="7260" spans="1:26" customHeight="1" ht="18" hidden="true" outlineLevel="3">
      <c r="A7260" s="2" t="s">
        <v>13719</v>
      </c>
      <c r="B7260" s="3" t="s">
        <v>13720</v>
      </c>
      <c r="C7260" s="2"/>
      <c r="D7260" s="2" t="s">
        <v>16</v>
      </c>
      <c r="E7260" s="4">
        <f>33.86*(1-Z1%)</f>
        <v>33.86</v>
      </c>
      <c r="F7260" s="2">
        <v>68</v>
      </c>
      <c r="G7260" s="2"/>
    </row>
    <row r="7261" spans="1:26" customHeight="1" ht="18" hidden="true" outlineLevel="3">
      <c r="A7261" s="2" t="s">
        <v>13721</v>
      </c>
      <c r="B7261" s="3" t="s">
        <v>13722</v>
      </c>
      <c r="C7261" s="2"/>
      <c r="D7261" s="2" t="s">
        <v>16</v>
      </c>
      <c r="E7261" s="4">
        <f>33.86*(1-Z1%)</f>
        <v>33.86</v>
      </c>
      <c r="F7261" s="2">
        <v>18</v>
      </c>
      <c r="G7261" s="2"/>
    </row>
    <row r="7262" spans="1:26" customHeight="1" ht="18" hidden="true" outlineLevel="3">
      <c r="A7262" s="2" t="s">
        <v>13723</v>
      </c>
      <c r="B7262" s="3" t="s">
        <v>13724</v>
      </c>
      <c r="C7262" s="2"/>
      <c r="D7262" s="2" t="s">
        <v>16</v>
      </c>
      <c r="E7262" s="4">
        <f>33.86*(1-Z1%)</f>
        <v>33.86</v>
      </c>
      <c r="F7262" s="2">
        <v>23</v>
      </c>
      <c r="G7262" s="2"/>
    </row>
    <row r="7263" spans="1:26" customHeight="1" ht="18" hidden="true" outlineLevel="3">
      <c r="A7263" s="2" t="s">
        <v>13725</v>
      </c>
      <c r="B7263" s="3" t="s">
        <v>13726</v>
      </c>
      <c r="C7263" s="2"/>
      <c r="D7263" s="2" t="s">
        <v>16</v>
      </c>
      <c r="E7263" s="4">
        <f>32.29*(1-Z1%)</f>
        <v>32.29</v>
      </c>
      <c r="F7263" s="2">
        <v>24</v>
      </c>
      <c r="G7263" s="2"/>
    </row>
    <row r="7264" spans="1:26" customHeight="1" ht="18" hidden="true" outlineLevel="3">
      <c r="A7264" s="2" t="s">
        <v>13727</v>
      </c>
      <c r="B7264" s="3" t="s">
        <v>13728</v>
      </c>
      <c r="C7264" s="2"/>
      <c r="D7264" s="2" t="s">
        <v>16</v>
      </c>
      <c r="E7264" s="4">
        <f>33.86*(1-Z1%)</f>
        <v>33.86</v>
      </c>
      <c r="F7264" s="2">
        <v>9</v>
      </c>
      <c r="G7264" s="2"/>
    </row>
    <row r="7265" spans="1:26" customHeight="1" ht="18" hidden="true" outlineLevel="3">
      <c r="A7265" s="2" t="s">
        <v>13729</v>
      </c>
      <c r="B7265" s="3" t="s">
        <v>13730</v>
      </c>
      <c r="C7265" s="2"/>
      <c r="D7265" s="2" t="s">
        <v>16</v>
      </c>
      <c r="E7265" s="4">
        <f>33.86*(1-Z1%)</f>
        <v>33.86</v>
      </c>
      <c r="F7265" s="2">
        <v>13</v>
      </c>
      <c r="G7265" s="2"/>
    </row>
    <row r="7266" spans="1:26" customHeight="1" ht="18" hidden="true" outlineLevel="3">
      <c r="A7266" s="2" t="s">
        <v>13731</v>
      </c>
      <c r="B7266" s="3" t="s">
        <v>13732</v>
      </c>
      <c r="C7266" s="2"/>
      <c r="D7266" s="2" t="s">
        <v>16</v>
      </c>
      <c r="E7266" s="4">
        <f>49.21*(1-Z1%)</f>
        <v>49.21</v>
      </c>
      <c r="F7266" s="2">
        <v>48</v>
      </c>
      <c r="G7266" s="2"/>
    </row>
    <row r="7267" spans="1:26" customHeight="1" ht="18" hidden="true" outlineLevel="3">
      <c r="A7267" s="2" t="s">
        <v>13733</v>
      </c>
      <c r="B7267" s="3" t="s">
        <v>13734</v>
      </c>
      <c r="C7267" s="2"/>
      <c r="D7267" s="2" t="s">
        <v>16</v>
      </c>
      <c r="E7267" s="4">
        <f>49.21*(1-Z1%)</f>
        <v>49.21</v>
      </c>
      <c r="F7267" s="2">
        <v>85</v>
      </c>
      <c r="G7267" s="2"/>
    </row>
    <row r="7268" spans="1:26" customHeight="1" ht="36" hidden="true" outlineLevel="3">
      <c r="A7268" s="2" t="s">
        <v>13735</v>
      </c>
      <c r="B7268" s="3" t="s">
        <v>13736</v>
      </c>
      <c r="C7268" s="2"/>
      <c r="D7268" s="2" t="s">
        <v>16</v>
      </c>
      <c r="E7268" s="4">
        <f>54.89*(1-Z1%)</f>
        <v>54.89</v>
      </c>
      <c r="F7268" s="2">
        <v>71</v>
      </c>
      <c r="G7268" s="2"/>
    </row>
    <row r="7269" spans="1:26" customHeight="1" ht="18" hidden="true" outlineLevel="3">
      <c r="A7269" s="2" t="s">
        <v>13737</v>
      </c>
      <c r="B7269" s="3" t="s">
        <v>13738</v>
      </c>
      <c r="C7269" s="2"/>
      <c r="D7269" s="2" t="s">
        <v>16</v>
      </c>
      <c r="E7269" s="4">
        <f>49.21*(1-Z1%)</f>
        <v>49.21</v>
      </c>
      <c r="F7269" s="2">
        <v>35</v>
      </c>
      <c r="G7269" s="2"/>
    </row>
    <row r="7270" spans="1:26" customHeight="1" ht="18" hidden="true" outlineLevel="3">
      <c r="A7270" s="2" t="s">
        <v>13739</v>
      </c>
      <c r="B7270" s="3" t="s">
        <v>13740</v>
      </c>
      <c r="C7270" s="2"/>
      <c r="D7270" s="2" t="s">
        <v>16</v>
      </c>
      <c r="E7270" s="4">
        <f>49.21*(1-Z1%)</f>
        <v>49.21</v>
      </c>
      <c r="F7270" s="2">
        <v>65</v>
      </c>
      <c r="G7270" s="2"/>
    </row>
    <row r="7271" spans="1:26" customHeight="1" ht="18" hidden="true" outlineLevel="3">
      <c r="A7271" s="2" t="s">
        <v>13741</v>
      </c>
      <c r="B7271" s="3" t="s">
        <v>13742</v>
      </c>
      <c r="C7271" s="2"/>
      <c r="D7271" s="2" t="s">
        <v>16</v>
      </c>
      <c r="E7271" s="4">
        <f>50.69*(1-Z1%)</f>
        <v>50.69</v>
      </c>
      <c r="F7271" s="2">
        <v>53</v>
      </c>
      <c r="G7271" s="2"/>
    </row>
    <row r="7272" spans="1:26" customHeight="1" ht="18" hidden="true" outlineLevel="3">
      <c r="A7272" s="2" t="s">
        <v>13743</v>
      </c>
      <c r="B7272" s="3" t="s">
        <v>13744</v>
      </c>
      <c r="C7272" s="2"/>
      <c r="D7272" s="2" t="s">
        <v>16</v>
      </c>
      <c r="E7272" s="4">
        <f>49.21*(1-Z1%)</f>
        <v>49.21</v>
      </c>
      <c r="F7272" s="2">
        <v>48</v>
      </c>
      <c r="G7272" s="2"/>
    </row>
    <row r="7273" spans="1:26" customHeight="1" ht="36" hidden="true" outlineLevel="3">
      <c r="A7273" s="2" t="s">
        <v>13745</v>
      </c>
      <c r="B7273" s="3" t="s">
        <v>13746</v>
      </c>
      <c r="C7273" s="2"/>
      <c r="D7273" s="2" t="s">
        <v>16</v>
      </c>
      <c r="E7273" s="4">
        <f>84.50*(1-Z1%)</f>
        <v>84.5</v>
      </c>
      <c r="F7273" s="2">
        <v>8</v>
      </c>
      <c r="G7273" s="2"/>
    </row>
    <row r="7274" spans="1:26" customHeight="1" ht="18" hidden="true" outlineLevel="3">
      <c r="A7274" s="2" t="s">
        <v>13747</v>
      </c>
      <c r="B7274" s="3" t="s">
        <v>13748</v>
      </c>
      <c r="C7274" s="2"/>
      <c r="D7274" s="2" t="s">
        <v>16</v>
      </c>
      <c r="E7274" s="4">
        <f>16.53*(1-Z1%)</f>
        <v>16.53</v>
      </c>
      <c r="F7274" s="2">
        <v>7</v>
      </c>
      <c r="G7274" s="2"/>
    </row>
    <row r="7275" spans="1:26" customHeight="1" ht="36" hidden="true" outlineLevel="3">
      <c r="A7275" s="2" t="s">
        <v>13749</v>
      </c>
      <c r="B7275" s="3" t="s">
        <v>13750</v>
      </c>
      <c r="C7275" s="2"/>
      <c r="D7275" s="2" t="s">
        <v>16</v>
      </c>
      <c r="E7275" s="4">
        <f>72.50*(1-Z1%)</f>
        <v>72.5</v>
      </c>
      <c r="F7275" s="2">
        <v>10</v>
      </c>
      <c r="G7275" s="2"/>
    </row>
    <row r="7276" spans="1:26" customHeight="1" ht="18" hidden="true" outlineLevel="3">
      <c r="A7276" s="2" t="s">
        <v>13751</v>
      </c>
      <c r="B7276" s="3" t="s">
        <v>13752</v>
      </c>
      <c r="C7276" s="2"/>
      <c r="D7276" s="2" t="s">
        <v>16</v>
      </c>
      <c r="E7276" s="4">
        <f>15.68*(1-Z1%)</f>
        <v>15.68</v>
      </c>
      <c r="F7276" s="2">
        <v>14</v>
      </c>
      <c r="G7276" s="2"/>
    </row>
    <row r="7277" spans="1:26" customHeight="1" ht="18" hidden="true" outlineLevel="3">
      <c r="A7277" s="2" t="s">
        <v>13753</v>
      </c>
      <c r="B7277" s="3" t="s">
        <v>13754</v>
      </c>
      <c r="C7277" s="2"/>
      <c r="D7277" s="2" t="s">
        <v>16</v>
      </c>
      <c r="E7277" s="4">
        <f>21.11*(1-Z1%)</f>
        <v>21.11</v>
      </c>
      <c r="F7277" s="2">
        <v>10</v>
      </c>
      <c r="G7277" s="2"/>
    </row>
    <row r="7278" spans="1:26" customHeight="1" ht="36" hidden="true" outlineLevel="3">
      <c r="A7278" s="2" t="s">
        <v>13755</v>
      </c>
      <c r="B7278" s="3" t="s">
        <v>13756</v>
      </c>
      <c r="C7278" s="2"/>
      <c r="D7278" s="2" t="s">
        <v>16</v>
      </c>
      <c r="E7278" s="4">
        <f>349.13*(1-Z1%)</f>
        <v>349.13</v>
      </c>
      <c r="F7278" s="2">
        <v>3</v>
      </c>
      <c r="G7278" s="2"/>
    </row>
    <row r="7279" spans="1:26" customHeight="1" ht="35" hidden="true" outlineLevel="3">
      <c r="A7279" s="5" t="s">
        <v>13757</v>
      </c>
      <c r="B7279" s="5"/>
      <c r="C7279" s="5"/>
      <c r="D7279" s="5"/>
      <c r="E7279" s="5"/>
      <c r="F7279" s="5"/>
      <c r="G7279" s="5"/>
    </row>
    <row r="7280" spans="1:26" customHeight="1" ht="18" hidden="true" outlineLevel="3">
      <c r="A7280" s="2" t="s">
        <v>13758</v>
      </c>
      <c r="B7280" s="3" t="s">
        <v>13759</v>
      </c>
      <c r="C7280" s="2"/>
      <c r="D7280" s="2" t="s">
        <v>16</v>
      </c>
      <c r="E7280" s="4">
        <f>8.16*(1-Z1%)</f>
        <v>8.16</v>
      </c>
      <c r="F7280" s="2">
        <v>40</v>
      </c>
      <c r="G7280" s="2"/>
    </row>
    <row r="7281" spans="1:26" customHeight="1" ht="18" hidden="true" outlineLevel="3">
      <c r="A7281" s="2" t="s">
        <v>13760</v>
      </c>
      <c r="B7281" s="3" t="s">
        <v>13761</v>
      </c>
      <c r="C7281" s="2"/>
      <c r="D7281" s="2" t="s">
        <v>16</v>
      </c>
      <c r="E7281" s="4">
        <f>9.50*(1-Z1%)</f>
        <v>9.5</v>
      </c>
      <c r="F7281" s="2">
        <v>25</v>
      </c>
      <c r="G7281" s="2"/>
    </row>
    <row r="7282" spans="1:26" customHeight="1" ht="18" hidden="true" outlineLevel="3">
      <c r="A7282" s="2" t="s">
        <v>13762</v>
      </c>
      <c r="B7282" s="3" t="s">
        <v>13763</v>
      </c>
      <c r="C7282" s="2"/>
      <c r="D7282" s="2" t="s">
        <v>16</v>
      </c>
      <c r="E7282" s="4">
        <f>23.27*(1-Z1%)</f>
        <v>23.27</v>
      </c>
      <c r="F7282" s="2">
        <v>25</v>
      </c>
      <c r="G7282" s="2"/>
    </row>
    <row r="7283" spans="1:26" customHeight="1" ht="18" hidden="true" outlineLevel="3">
      <c r="A7283" s="2" t="s">
        <v>13764</v>
      </c>
      <c r="B7283" s="3" t="s">
        <v>13765</v>
      </c>
      <c r="C7283" s="2"/>
      <c r="D7283" s="2" t="s">
        <v>16</v>
      </c>
      <c r="E7283" s="4">
        <f>19.40*(1-Z1%)</f>
        <v>19.4</v>
      </c>
      <c r="F7283" s="2">
        <v>25</v>
      </c>
      <c r="G7283" s="2"/>
    </row>
    <row r="7284" spans="1:26" customHeight="1" ht="18" hidden="true" outlineLevel="3">
      <c r="A7284" s="2" t="s">
        <v>13766</v>
      </c>
      <c r="B7284" s="3" t="s">
        <v>13767</v>
      </c>
      <c r="C7284" s="2"/>
      <c r="D7284" s="2" t="s">
        <v>16</v>
      </c>
      <c r="E7284" s="4">
        <f>19.11*(1-Z1%)</f>
        <v>19.11</v>
      </c>
      <c r="F7284" s="2">
        <v>25</v>
      </c>
      <c r="G7284" s="2"/>
    </row>
    <row r="7285" spans="1:26" customHeight="1" ht="18" hidden="true" outlineLevel="3">
      <c r="A7285" s="2" t="s">
        <v>13768</v>
      </c>
      <c r="B7285" s="3" t="s">
        <v>13769</v>
      </c>
      <c r="C7285" s="2"/>
      <c r="D7285" s="2" t="s">
        <v>16</v>
      </c>
      <c r="E7285" s="4">
        <f>19.40*(1-Z1%)</f>
        <v>19.4</v>
      </c>
      <c r="F7285" s="2">
        <v>25</v>
      </c>
      <c r="G7285" s="2"/>
    </row>
    <row r="7286" spans="1:26" customHeight="1" ht="18" hidden="true" outlineLevel="3">
      <c r="A7286" s="2" t="s">
        <v>13770</v>
      </c>
      <c r="B7286" s="3" t="s">
        <v>13771</v>
      </c>
      <c r="C7286" s="2"/>
      <c r="D7286" s="2" t="s">
        <v>16</v>
      </c>
      <c r="E7286" s="4">
        <f>19.40*(1-Z1%)</f>
        <v>19.4</v>
      </c>
      <c r="F7286" s="2">
        <v>25</v>
      </c>
      <c r="G7286" s="2"/>
    </row>
    <row r="7287" spans="1:26" customHeight="1" ht="35" hidden="true" outlineLevel="3">
      <c r="A7287" s="5" t="s">
        <v>13772</v>
      </c>
      <c r="B7287" s="5"/>
      <c r="C7287" s="5"/>
      <c r="D7287" s="5"/>
      <c r="E7287" s="5"/>
      <c r="F7287" s="5"/>
      <c r="G7287" s="5"/>
    </row>
    <row r="7288" spans="1:26" customHeight="1" ht="18" hidden="true" outlineLevel="3">
      <c r="A7288" s="2" t="s">
        <v>13773</v>
      </c>
      <c r="B7288" s="3" t="s">
        <v>13774</v>
      </c>
      <c r="C7288" s="2"/>
      <c r="D7288" s="2" t="s">
        <v>16</v>
      </c>
      <c r="E7288" s="4">
        <f>37.67*(1-Z1%)</f>
        <v>37.67</v>
      </c>
      <c r="F7288" s="2">
        <v>4</v>
      </c>
      <c r="G7288" s="2"/>
    </row>
    <row r="7289" spans="1:26" customHeight="1" ht="18" hidden="true" outlineLevel="3">
      <c r="A7289" s="2" t="s">
        <v>13775</v>
      </c>
      <c r="B7289" s="3" t="s">
        <v>13776</v>
      </c>
      <c r="C7289" s="2"/>
      <c r="D7289" s="2" t="s">
        <v>16</v>
      </c>
      <c r="E7289" s="4">
        <f>38.93*(1-Z1%)</f>
        <v>38.93</v>
      </c>
      <c r="F7289" s="2">
        <v>4</v>
      </c>
      <c r="G7289" s="2"/>
    </row>
    <row r="7290" spans="1:26" customHeight="1" ht="35" hidden="true" outlineLevel="3">
      <c r="A7290" s="5" t="s">
        <v>13777</v>
      </c>
      <c r="B7290" s="5"/>
      <c r="C7290" s="5"/>
      <c r="D7290" s="5"/>
      <c r="E7290" s="5"/>
      <c r="F7290" s="5"/>
      <c r="G7290" s="5"/>
    </row>
    <row r="7291" spans="1:26" customHeight="1" ht="18" hidden="true" outlineLevel="3">
      <c r="A7291" s="2" t="s">
        <v>13778</v>
      </c>
      <c r="B7291" s="3" t="s">
        <v>13779</v>
      </c>
      <c r="C7291" s="2"/>
      <c r="D7291" s="2" t="s">
        <v>16</v>
      </c>
      <c r="E7291" s="4">
        <f>55.18*(1-Z1%)</f>
        <v>55.18</v>
      </c>
      <c r="F7291" s="2">
        <v>7</v>
      </c>
      <c r="G7291" s="2"/>
    </row>
    <row r="7292" spans="1:26" customHeight="1" ht="18" hidden="true" outlineLevel="3">
      <c r="A7292" s="2" t="s">
        <v>13780</v>
      </c>
      <c r="B7292" s="3" t="s">
        <v>13781</v>
      </c>
      <c r="C7292" s="2"/>
      <c r="D7292" s="2" t="s">
        <v>16</v>
      </c>
      <c r="E7292" s="4">
        <f>85.54*(1-Z1%)</f>
        <v>85.54</v>
      </c>
      <c r="F7292" s="2">
        <v>9</v>
      </c>
      <c r="G7292" s="2"/>
    </row>
    <row r="7293" spans="1:26" customHeight="1" ht="18" hidden="true" outlineLevel="3">
      <c r="A7293" s="2" t="s">
        <v>13782</v>
      </c>
      <c r="B7293" s="3" t="s">
        <v>13783</v>
      </c>
      <c r="C7293" s="2"/>
      <c r="D7293" s="2" t="s">
        <v>16</v>
      </c>
      <c r="E7293" s="4">
        <f>62.78*(1-Z1%)</f>
        <v>62.78</v>
      </c>
      <c r="F7293" s="2">
        <v>12</v>
      </c>
      <c r="G7293" s="2"/>
    </row>
    <row r="7294" spans="1:26" customHeight="1" ht="18" hidden="true" outlineLevel="3">
      <c r="A7294" s="2" t="s">
        <v>13784</v>
      </c>
      <c r="B7294" s="3" t="s">
        <v>13785</v>
      </c>
      <c r="C7294" s="2"/>
      <c r="D7294" s="2" t="s">
        <v>16</v>
      </c>
      <c r="E7294" s="4">
        <f>66.23*(1-Z1%)</f>
        <v>66.23</v>
      </c>
      <c r="F7294" s="2">
        <v>7</v>
      </c>
      <c r="G7294" s="2"/>
    </row>
    <row r="7295" spans="1:26" customHeight="1" ht="18" hidden="true" outlineLevel="3">
      <c r="A7295" s="2" t="s">
        <v>13786</v>
      </c>
      <c r="B7295" s="3" t="s">
        <v>13787</v>
      </c>
      <c r="C7295" s="2"/>
      <c r="D7295" s="2" t="s">
        <v>16</v>
      </c>
      <c r="E7295" s="4">
        <f>69.11*(1-Z1%)</f>
        <v>69.11</v>
      </c>
      <c r="F7295" s="2">
        <v>3</v>
      </c>
      <c r="G7295" s="2"/>
    </row>
    <row r="7296" spans="1:26" customHeight="1" ht="18" hidden="true" outlineLevel="3">
      <c r="A7296" s="2" t="s">
        <v>13788</v>
      </c>
      <c r="B7296" s="3" t="s">
        <v>13789</v>
      </c>
      <c r="C7296" s="2"/>
      <c r="D7296" s="2" t="s">
        <v>16</v>
      </c>
      <c r="E7296" s="4">
        <f>87.20*(1-Z1%)</f>
        <v>87.2</v>
      </c>
      <c r="F7296" s="2">
        <v>15</v>
      </c>
      <c r="G7296" s="2"/>
    </row>
    <row r="7297" spans="1:26" customHeight="1" ht="35" hidden="true" outlineLevel="2">
      <c r="A7297" s="5" t="s">
        <v>13790</v>
      </c>
      <c r="B7297" s="5"/>
      <c r="C7297" s="5"/>
      <c r="D7297" s="5"/>
      <c r="E7297" s="5"/>
      <c r="F7297" s="5"/>
      <c r="G7297" s="5"/>
    </row>
    <row r="7298" spans="1:26" customHeight="1" ht="35" hidden="true" outlineLevel="3">
      <c r="A7298" s="5" t="s">
        <v>13791</v>
      </c>
      <c r="B7298" s="5"/>
      <c r="C7298" s="5"/>
      <c r="D7298" s="5"/>
      <c r="E7298" s="5"/>
      <c r="F7298" s="5"/>
      <c r="G7298" s="5"/>
    </row>
    <row r="7299" spans="1:26" customHeight="1" ht="18" hidden="true" outlineLevel="3">
      <c r="A7299" s="2" t="s">
        <v>13792</v>
      </c>
      <c r="B7299" s="3" t="s">
        <v>13793</v>
      </c>
      <c r="C7299" s="2"/>
      <c r="D7299" s="2" t="s">
        <v>16</v>
      </c>
      <c r="E7299" s="4">
        <f>35.15*(1-Z1%)</f>
        <v>35.15</v>
      </c>
      <c r="F7299" s="2">
        <v>32</v>
      </c>
      <c r="G7299" s="2"/>
    </row>
    <row r="7300" spans="1:26" customHeight="1" ht="18" hidden="true" outlineLevel="3">
      <c r="A7300" s="2" t="s">
        <v>13794</v>
      </c>
      <c r="B7300" s="3" t="s">
        <v>13795</v>
      </c>
      <c r="C7300" s="2"/>
      <c r="D7300" s="2" t="s">
        <v>16</v>
      </c>
      <c r="E7300" s="4">
        <f>57.39*(1-Z1%)</f>
        <v>57.39</v>
      </c>
      <c r="F7300" s="2">
        <v>29</v>
      </c>
      <c r="G7300" s="2"/>
    </row>
    <row r="7301" spans="1:26" customHeight="1" ht="18" hidden="true" outlineLevel="3">
      <c r="A7301" s="2" t="s">
        <v>13796</v>
      </c>
      <c r="B7301" s="3" t="s">
        <v>13797</v>
      </c>
      <c r="C7301" s="2"/>
      <c r="D7301" s="2" t="s">
        <v>16</v>
      </c>
      <c r="E7301" s="4">
        <f>57.39*(1-Z1%)</f>
        <v>57.39</v>
      </c>
      <c r="F7301" s="2">
        <v>29</v>
      </c>
      <c r="G7301" s="2"/>
    </row>
    <row r="7302" spans="1:26" customHeight="1" ht="18" hidden="true" outlineLevel="3">
      <c r="A7302" s="2" t="s">
        <v>13798</v>
      </c>
      <c r="B7302" s="3" t="s">
        <v>13799</v>
      </c>
      <c r="C7302" s="2"/>
      <c r="D7302" s="2" t="s">
        <v>16</v>
      </c>
      <c r="E7302" s="4">
        <f>40.55*(1-Z1%)</f>
        <v>40.55</v>
      </c>
      <c r="F7302" s="2">
        <v>30</v>
      </c>
      <c r="G7302" s="2"/>
    </row>
    <row r="7303" spans="1:26" customHeight="1" ht="18" hidden="true" outlineLevel="3">
      <c r="A7303" s="2" t="s">
        <v>13800</v>
      </c>
      <c r="B7303" s="3" t="s">
        <v>13801</v>
      </c>
      <c r="C7303" s="2"/>
      <c r="D7303" s="2" t="s">
        <v>16</v>
      </c>
      <c r="E7303" s="4">
        <f>58.66*(1-Z1%)</f>
        <v>58.66</v>
      </c>
      <c r="F7303" s="2">
        <v>24</v>
      </c>
      <c r="G7303" s="2"/>
    </row>
    <row r="7304" spans="1:26" customHeight="1" ht="18" hidden="true" outlineLevel="3">
      <c r="A7304" s="2" t="s">
        <v>13802</v>
      </c>
      <c r="B7304" s="3" t="s">
        <v>13803</v>
      </c>
      <c r="C7304" s="2"/>
      <c r="D7304" s="2" t="s">
        <v>16</v>
      </c>
      <c r="E7304" s="4">
        <f>58.67*(1-Z1%)</f>
        <v>58.67</v>
      </c>
      <c r="F7304" s="2">
        <v>24</v>
      </c>
      <c r="G7304" s="2"/>
    </row>
    <row r="7305" spans="1:26" customHeight="1" ht="18" hidden="true" outlineLevel="3">
      <c r="A7305" s="2" t="s">
        <v>13804</v>
      </c>
      <c r="B7305" s="3" t="s">
        <v>13805</v>
      </c>
      <c r="C7305" s="2"/>
      <c r="D7305" s="2" t="s">
        <v>16</v>
      </c>
      <c r="E7305" s="4">
        <f>49.19*(1-Z1%)</f>
        <v>49.19</v>
      </c>
      <c r="F7305" s="2">
        <v>50</v>
      </c>
      <c r="G7305" s="2"/>
    </row>
    <row r="7306" spans="1:26" customHeight="1" ht="18" hidden="true" outlineLevel="3">
      <c r="A7306" s="2" t="s">
        <v>13806</v>
      </c>
      <c r="B7306" s="3" t="s">
        <v>13807</v>
      </c>
      <c r="C7306" s="2"/>
      <c r="D7306" s="2" t="s">
        <v>16</v>
      </c>
      <c r="E7306" s="4">
        <f>49.17*(1-Z1%)</f>
        <v>49.17</v>
      </c>
      <c r="F7306" s="2">
        <v>20</v>
      </c>
      <c r="G7306" s="2"/>
    </row>
    <row r="7307" spans="1:26" customHeight="1" ht="18" hidden="true" outlineLevel="3">
      <c r="A7307" s="2" t="s">
        <v>13808</v>
      </c>
      <c r="B7307" s="3" t="s">
        <v>13809</v>
      </c>
      <c r="C7307" s="2"/>
      <c r="D7307" s="2" t="s">
        <v>16</v>
      </c>
      <c r="E7307" s="4">
        <f>77.47*(1-Z1%)</f>
        <v>77.47</v>
      </c>
      <c r="F7307" s="2">
        <v>20</v>
      </c>
      <c r="G7307" s="2"/>
    </row>
    <row r="7308" spans="1:26" customHeight="1" ht="18" hidden="true" outlineLevel="3">
      <c r="A7308" s="2" t="s">
        <v>13810</v>
      </c>
      <c r="B7308" s="3" t="s">
        <v>13811</v>
      </c>
      <c r="C7308" s="2"/>
      <c r="D7308" s="2" t="s">
        <v>16</v>
      </c>
      <c r="E7308" s="4">
        <f>144.47*(1-Z1%)</f>
        <v>144.47</v>
      </c>
      <c r="F7308" s="2">
        <v>10</v>
      </c>
      <c r="G7308" s="2"/>
    </row>
    <row r="7309" spans="1:26" customHeight="1" ht="18" hidden="true" outlineLevel="3">
      <c r="A7309" s="2" t="s">
        <v>13812</v>
      </c>
      <c r="B7309" s="3" t="s">
        <v>13813</v>
      </c>
      <c r="C7309" s="2"/>
      <c r="D7309" s="2" t="s">
        <v>16</v>
      </c>
      <c r="E7309" s="4">
        <f>194.67*(1-Z1%)</f>
        <v>194.67</v>
      </c>
      <c r="F7309" s="2">
        <v>20</v>
      </c>
      <c r="G7309" s="2"/>
    </row>
    <row r="7310" spans="1:26" customHeight="1" ht="18" hidden="true" outlineLevel="3">
      <c r="A7310" s="2" t="s">
        <v>13814</v>
      </c>
      <c r="B7310" s="3" t="s">
        <v>13815</v>
      </c>
      <c r="C7310" s="2"/>
      <c r="D7310" s="2" t="s">
        <v>16</v>
      </c>
      <c r="E7310" s="4">
        <f>770.80*(1-Z1%)</f>
        <v>770.8</v>
      </c>
      <c r="F7310" s="2">
        <v>5</v>
      </c>
      <c r="G7310" s="2"/>
    </row>
    <row r="7311" spans="1:26" customHeight="1" ht="35" hidden="true" outlineLevel="3">
      <c r="A7311" s="5" t="s">
        <v>13816</v>
      </c>
      <c r="B7311" s="5"/>
      <c r="C7311" s="5"/>
      <c r="D7311" s="5"/>
      <c r="E7311" s="5"/>
      <c r="F7311" s="5"/>
      <c r="G7311" s="5"/>
    </row>
    <row r="7312" spans="1:26" customHeight="1" ht="35" hidden="true" outlineLevel="4">
      <c r="A7312" s="5" t="s">
        <v>13817</v>
      </c>
      <c r="B7312" s="5"/>
      <c r="C7312" s="5"/>
      <c r="D7312" s="5"/>
      <c r="E7312" s="5"/>
      <c r="F7312" s="5"/>
      <c r="G7312" s="5"/>
    </row>
    <row r="7313" spans="1:26" customHeight="1" ht="36" hidden="true" outlineLevel="4">
      <c r="A7313" s="2" t="s">
        <v>13818</v>
      </c>
      <c r="B7313" s="3" t="s">
        <v>13819</v>
      </c>
      <c r="C7313" s="2"/>
      <c r="D7313" s="2" t="s">
        <v>16</v>
      </c>
      <c r="E7313" s="4">
        <f>116.24*(1-Z1%)</f>
        <v>116.24</v>
      </c>
      <c r="F7313" s="2">
        <v>2</v>
      </c>
      <c r="G7313" s="2"/>
    </row>
    <row r="7314" spans="1:26" customHeight="1" ht="36" hidden="true" outlineLevel="4">
      <c r="A7314" s="2" t="s">
        <v>13820</v>
      </c>
      <c r="B7314" s="3" t="s">
        <v>13821</v>
      </c>
      <c r="C7314" s="2"/>
      <c r="D7314" s="2" t="s">
        <v>16</v>
      </c>
      <c r="E7314" s="4">
        <f>127.71*(1-Z1%)</f>
        <v>127.71</v>
      </c>
      <c r="F7314" s="2">
        <v>4</v>
      </c>
      <c r="G7314" s="2"/>
    </row>
    <row r="7315" spans="1:26" customHeight="1" ht="36" hidden="true" outlineLevel="4">
      <c r="A7315" s="2" t="s">
        <v>13822</v>
      </c>
      <c r="B7315" s="3" t="s">
        <v>13823</v>
      </c>
      <c r="C7315" s="2"/>
      <c r="D7315" s="2" t="s">
        <v>16</v>
      </c>
      <c r="E7315" s="4">
        <f>84.11*(1-Z1%)</f>
        <v>84.11</v>
      </c>
      <c r="F7315" s="2">
        <v>8</v>
      </c>
      <c r="G7315" s="2"/>
    </row>
    <row r="7316" spans="1:26" customHeight="1" ht="36" hidden="true" outlineLevel="4">
      <c r="A7316" s="2" t="s">
        <v>13824</v>
      </c>
      <c r="B7316" s="3" t="s">
        <v>13825</v>
      </c>
      <c r="C7316" s="2"/>
      <c r="D7316" s="2" t="s">
        <v>16</v>
      </c>
      <c r="E7316" s="4">
        <f>64.43*(1-Z1%)</f>
        <v>64.43</v>
      </c>
      <c r="F7316" s="2">
        <v>4</v>
      </c>
      <c r="G7316" s="2"/>
    </row>
    <row r="7317" spans="1:26" customHeight="1" ht="36" hidden="true" outlineLevel="4">
      <c r="A7317" s="2" t="s">
        <v>13826</v>
      </c>
      <c r="B7317" s="3" t="s">
        <v>13827</v>
      </c>
      <c r="C7317" s="2"/>
      <c r="D7317" s="2" t="s">
        <v>16</v>
      </c>
      <c r="E7317" s="4">
        <f>59.57*(1-Z1%)</f>
        <v>59.57</v>
      </c>
      <c r="F7317" s="2">
        <v>7</v>
      </c>
      <c r="G7317" s="2"/>
    </row>
    <row r="7318" spans="1:26" customHeight="1" ht="36" hidden="true" outlineLevel="4">
      <c r="A7318" s="2" t="s">
        <v>13828</v>
      </c>
      <c r="B7318" s="3" t="s">
        <v>13829</v>
      </c>
      <c r="C7318" s="2"/>
      <c r="D7318" s="2" t="s">
        <v>16</v>
      </c>
      <c r="E7318" s="4">
        <f>70.09*(1-Z1%)</f>
        <v>70.09</v>
      </c>
      <c r="F7318" s="2">
        <v>3</v>
      </c>
      <c r="G7318" s="2"/>
    </row>
    <row r="7319" spans="1:26" customHeight="1" ht="36" hidden="true" outlineLevel="4">
      <c r="A7319" s="2" t="s">
        <v>13830</v>
      </c>
      <c r="B7319" s="3" t="s">
        <v>13831</v>
      </c>
      <c r="C7319" s="2"/>
      <c r="D7319" s="2" t="s">
        <v>16</v>
      </c>
      <c r="E7319" s="4">
        <f>84.85*(1-Z1%)</f>
        <v>84.85</v>
      </c>
      <c r="F7319" s="2">
        <v>3</v>
      </c>
      <c r="G7319" s="2"/>
    </row>
    <row r="7320" spans="1:26" customHeight="1" ht="36" hidden="true" outlineLevel="4">
      <c r="A7320" s="2" t="s">
        <v>13832</v>
      </c>
      <c r="B7320" s="3" t="s">
        <v>13833</v>
      </c>
      <c r="C7320" s="2"/>
      <c r="D7320" s="2" t="s">
        <v>16</v>
      </c>
      <c r="E7320" s="4">
        <f>85.66*(1-Z1%)</f>
        <v>85.66</v>
      </c>
      <c r="F7320" s="2">
        <v>4</v>
      </c>
      <c r="G7320" s="2"/>
    </row>
    <row r="7321" spans="1:26" customHeight="1" ht="35" hidden="true" outlineLevel="4">
      <c r="A7321" s="5" t="s">
        <v>13834</v>
      </c>
      <c r="B7321" s="5"/>
      <c r="C7321" s="5"/>
      <c r="D7321" s="5"/>
      <c r="E7321" s="5"/>
      <c r="F7321" s="5"/>
      <c r="G7321" s="5"/>
    </row>
    <row r="7322" spans="1:26" customHeight="1" ht="18" hidden="true" outlineLevel="4">
      <c r="A7322" s="2" t="s">
        <v>13835</v>
      </c>
      <c r="B7322" s="3" t="s">
        <v>13836</v>
      </c>
      <c r="C7322" s="2"/>
      <c r="D7322" s="2" t="s">
        <v>16</v>
      </c>
      <c r="E7322" s="4">
        <f>1.37*(1-Z1%)</f>
        <v>1.37</v>
      </c>
      <c r="F7322" s="2">
        <v>300</v>
      </c>
      <c r="G7322" s="2"/>
    </row>
    <row r="7323" spans="1:26" customHeight="1" ht="18" hidden="true" outlineLevel="4">
      <c r="A7323" s="2" t="s">
        <v>13837</v>
      </c>
      <c r="B7323" s="3" t="s">
        <v>13838</v>
      </c>
      <c r="C7323" s="2"/>
      <c r="D7323" s="2" t="s">
        <v>16</v>
      </c>
      <c r="E7323" s="4">
        <f>1.71*(1-Z1%)</f>
        <v>1.71</v>
      </c>
      <c r="F7323" s="2">
        <v>200</v>
      </c>
      <c r="G7323" s="2"/>
    </row>
    <row r="7324" spans="1:26" customHeight="1" ht="18" hidden="true" outlineLevel="4">
      <c r="A7324" s="2" t="s">
        <v>13839</v>
      </c>
      <c r="B7324" s="3" t="s">
        <v>13840</v>
      </c>
      <c r="C7324" s="2"/>
      <c r="D7324" s="2" t="s">
        <v>16</v>
      </c>
      <c r="E7324" s="4">
        <f>2.12*(1-Z1%)</f>
        <v>2.12</v>
      </c>
      <c r="F7324" s="2">
        <v>200</v>
      </c>
      <c r="G7324" s="2"/>
    </row>
    <row r="7325" spans="1:26" customHeight="1" ht="18" hidden="true" outlineLevel="4">
      <c r="A7325" s="2" t="s">
        <v>13841</v>
      </c>
      <c r="B7325" s="3" t="s">
        <v>13842</v>
      </c>
      <c r="C7325" s="2"/>
      <c r="D7325" s="2" t="s">
        <v>16</v>
      </c>
      <c r="E7325" s="4">
        <f>3.34*(1-Z1%)</f>
        <v>3.34</v>
      </c>
      <c r="F7325" s="2">
        <v>150</v>
      </c>
      <c r="G7325" s="2"/>
    </row>
    <row r="7326" spans="1:26" customHeight="1" ht="35" hidden="true" outlineLevel="4">
      <c r="A7326" s="5" t="s">
        <v>13843</v>
      </c>
      <c r="B7326" s="5"/>
      <c r="C7326" s="5"/>
      <c r="D7326" s="5"/>
      <c r="E7326" s="5"/>
      <c r="F7326" s="5"/>
      <c r="G7326" s="5"/>
    </row>
    <row r="7327" spans="1:26" customHeight="1" ht="18" hidden="true" outlineLevel="4">
      <c r="A7327" s="2" t="s">
        <v>13844</v>
      </c>
      <c r="B7327" s="3" t="s">
        <v>13845</v>
      </c>
      <c r="C7327" s="2"/>
      <c r="D7327" s="2" t="s">
        <v>16</v>
      </c>
      <c r="E7327" s="4">
        <f>59.04*(1-Z1%)</f>
        <v>59.04</v>
      </c>
      <c r="F7327" s="2">
        <v>3</v>
      </c>
      <c r="G7327" s="2"/>
    </row>
    <row r="7328" spans="1:26" customHeight="1" ht="18" hidden="true" outlineLevel="4">
      <c r="A7328" s="2" t="s">
        <v>13846</v>
      </c>
      <c r="B7328" s="3" t="s">
        <v>13847</v>
      </c>
      <c r="C7328" s="2"/>
      <c r="D7328" s="2" t="s">
        <v>16</v>
      </c>
      <c r="E7328" s="4">
        <f>113.55*(1-Z1%)</f>
        <v>113.55</v>
      </c>
      <c r="F7328" s="2">
        <v>5</v>
      </c>
      <c r="G7328" s="2"/>
    </row>
    <row r="7329" spans="1:26" customHeight="1" ht="18" hidden="true" outlineLevel="4">
      <c r="A7329" s="2" t="s">
        <v>13848</v>
      </c>
      <c r="B7329" s="3" t="s">
        <v>13849</v>
      </c>
      <c r="C7329" s="2"/>
      <c r="D7329" s="2" t="s">
        <v>16</v>
      </c>
      <c r="E7329" s="4">
        <f>25.73*(1-Z1%)</f>
        <v>25.73</v>
      </c>
      <c r="F7329" s="2">
        <v>4</v>
      </c>
      <c r="G7329" s="2"/>
    </row>
    <row r="7330" spans="1:26" customHeight="1" ht="36" hidden="true" outlineLevel="4">
      <c r="A7330" s="2" t="s">
        <v>13850</v>
      </c>
      <c r="B7330" s="3" t="s">
        <v>13851</v>
      </c>
      <c r="C7330" s="2"/>
      <c r="D7330" s="2" t="s">
        <v>16</v>
      </c>
      <c r="E7330" s="4">
        <f>46.57*(1-Z1%)</f>
        <v>46.57</v>
      </c>
      <c r="F7330" s="2">
        <v>5</v>
      </c>
      <c r="G7330" s="2"/>
    </row>
    <row r="7331" spans="1:26" customHeight="1" ht="36" hidden="true" outlineLevel="4">
      <c r="A7331" s="2" t="s">
        <v>13852</v>
      </c>
      <c r="B7331" s="3" t="s">
        <v>13853</v>
      </c>
      <c r="C7331" s="2"/>
      <c r="D7331" s="2" t="s">
        <v>16</v>
      </c>
      <c r="E7331" s="4">
        <f>41.89*(1-Z1%)</f>
        <v>41.89</v>
      </c>
      <c r="F7331" s="2">
        <v>5</v>
      </c>
      <c r="G7331" s="2"/>
    </row>
    <row r="7332" spans="1:26" customHeight="1" ht="18" hidden="true" outlineLevel="4">
      <c r="A7332" s="2" t="s">
        <v>13854</v>
      </c>
      <c r="B7332" s="3" t="s">
        <v>13855</v>
      </c>
      <c r="C7332" s="2"/>
      <c r="D7332" s="2" t="s">
        <v>16</v>
      </c>
      <c r="E7332" s="4">
        <f>41.45*(1-Z1%)</f>
        <v>41.45</v>
      </c>
      <c r="F7332" s="2">
        <v>7</v>
      </c>
      <c r="G7332" s="2"/>
    </row>
    <row r="7333" spans="1:26" customHeight="1" ht="35" hidden="true" outlineLevel="4">
      <c r="A7333" s="5" t="s">
        <v>13856</v>
      </c>
      <c r="B7333" s="5"/>
      <c r="C7333" s="5"/>
      <c r="D7333" s="5"/>
      <c r="E7333" s="5"/>
      <c r="F7333" s="5"/>
      <c r="G7333" s="5"/>
    </row>
    <row r="7334" spans="1:26" customHeight="1" ht="36" hidden="true" outlineLevel="4">
      <c r="A7334" s="2" t="s">
        <v>13857</v>
      </c>
      <c r="B7334" s="3" t="s">
        <v>13858</v>
      </c>
      <c r="C7334" s="2"/>
      <c r="D7334" s="2" t="s">
        <v>16</v>
      </c>
      <c r="E7334" s="4">
        <f>24.92*(1-Z1%)</f>
        <v>24.92</v>
      </c>
      <c r="F7334" s="2">
        <v>10</v>
      </c>
      <c r="G7334" s="2"/>
    </row>
    <row r="7335" spans="1:26" customHeight="1" ht="36" hidden="true" outlineLevel="4">
      <c r="A7335" s="2" t="s">
        <v>13859</v>
      </c>
      <c r="B7335" s="3" t="s">
        <v>13860</v>
      </c>
      <c r="C7335" s="2"/>
      <c r="D7335" s="2" t="s">
        <v>16</v>
      </c>
      <c r="E7335" s="4">
        <f>24.92*(1-Z1%)</f>
        <v>24.92</v>
      </c>
      <c r="F7335" s="2">
        <v>3</v>
      </c>
      <c r="G7335" s="2"/>
    </row>
    <row r="7336" spans="1:26" customHeight="1" ht="36" hidden="true" outlineLevel="4">
      <c r="A7336" s="2" t="s">
        <v>13861</v>
      </c>
      <c r="B7336" s="3" t="s">
        <v>13862</v>
      </c>
      <c r="C7336" s="2"/>
      <c r="D7336" s="2" t="s">
        <v>16</v>
      </c>
      <c r="E7336" s="4">
        <f>31.78*(1-Z1%)</f>
        <v>31.78</v>
      </c>
      <c r="F7336" s="2">
        <v>5</v>
      </c>
      <c r="G7336" s="2"/>
    </row>
    <row r="7337" spans="1:26" customHeight="1" ht="36" hidden="true" outlineLevel="4">
      <c r="A7337" s="2" t="s">
        <v>13863</v>
      </c>
      <c r="B7337" s="3" t="s">
        <v>13864</v>
      </c>
      <c r="C7337" s="2"/>
      <c r="D7337" s="2" t="s">
        <v>16</v>
      </c>
      <c r="E7337" s="4">
        <f>31.78*(1-Z1%)</f>
        <v>31.78</v>
      </c>
      <c r="F7337" s="2">
        <v>3</v>
      </c>
      <c r="G7337" s="2"/>
    </row>
    <row r="7338" spans="1:26" customHeight="1" ht="36" hidden="true" outlineLevel="4">
      <c r="A7338" s="2" t="s">
        <v>13865</v>
      </c>
      <c r="B7338" s="3" t="s">
        <v>13866</v>
      </c>
      <c r="C7338" s="2"/>
      <c r="D7338" s="2" t="s">
        <v>16</v>
      </c>
      <c r="E7338" s="4">
        <f>39.32*(1-Z1%)</f>
        <v>39.32</v>
      </c>
      <c r="F7338" s="2">
        <v>1</v>
      </c>
      <c r="G7338" s="2"/>
    </row>
    <row r="7339" spans="1:26" customHeight="1" ht="36" hidden="true" outlineLevel="4">
      <c r="A7339" s="2" t="s">
        <v>13867</v>
      </c>
      <c r="B7339" s="3" t="s">
        <v>13868</v>
      </c>
      <c r="C7339" s="2"/>
      <c r="D7339" s="2" t="s">
        <v>16</v>
      </c>
      <c r="E7339" s="4">
        <f>48.67*(1-Z1%)</f>
        <v>48.67</v>
      </c>
      <c r="F7339" s="2">
        <v>1</v>
      </c>
      <c r="G7339" s="2"/>
    </row>
    <row r="7340" spans="1:26" customHeight="1" ht="36" hidden="true" outlineLevel="4">
      <c r="A7340" s="2" t="s">
        <v>13869</v>
      </c>
      <c r="B7340" s="3" t="s">
        <v>13870</v>
      </c>
      <c r="C7340" s="2"/>
      <c r="D7340" s="2" t="s">
        <v>16</v>
      </c>
      <c r="E7340" s="4">
        <f>48.67*(1-Z1%)</f>
        <v>48.67</v>
      </c>
      <c r="F7340" s="2">
        <v>4</v>
      </c>
      <c r="G7340" s="2"/>
    </row>
    <row r="7341" spans="1:26" customHeight="1" ht="36" hidden="true" outlineLevel="4">
      <c r="A7341" s="2" t="s">
        <v>13871</v>
      </c>
      <c r="B7341" s="3" t="s">
        <v>13872</v>
      </c>
      <c r="C7341" s="2"/>
      <c r="D7341" s="2" t="s">
        <v>16</v>
      </c>
      <c r="E7341" s="4">
        <f>60.13*(1-Z1%)</f>
        <v>60.13</v>
      </c>
      <c r="F7341" s="2">
        <v>10</v>
      </c>
      <c r="G7341" s="2"/>
    </row>
    <row r="7342" spans="1:26" customHeight="1" ht="36" hidden="true" outlineLevel="4">
      <c r="A7342" s="2" t="s">
        <v>13873</v>
      </c>
      <c r="B7342" s="3" t="s">
        <v>13874</v>
      </c>
      <c r="C7342" s="2"/>
      <c r="D7342" s="2" t="s">
        <v>16</v>
      </c>
      <c r="E7342" s="4">
        <f>60.13*(1-Z1%)</f>
        <v>60.13</v>
      </c>
      <c r="F7342" s="2">
        <v>2</v>
      </c>
      <c r="G7342" s="2"/>
    </row>
    <row r="7343" spans="1:26" customHeight="1" ht="36" hidden="true" outlineLevel="4">
      <c r="A7343" s="2" t="s">
        <v>13875</v>
      </c>
      <c r="B7343" s="3" t="s">
        <v>13876</v>
      </c>
      <c r="C7343" s="2"/>
      <c r="D7343" s="2" t="s">
        <v>16</v>
      </c>
      <c r="E7343" s="4">
        <f>72.59*(1-Z1%)</f>
        <v>72.59</v>
      </c>
      <c r="F7343" s="2">
        <v>3</v>
      </c>
      <c r="G7343" s="2"/>
    </row>
    <row r="7344" spans="1:26" customHeight="1" ht="36" hidden="true" outlineLevel="4">
      <c r="A7344" s="2" t="s">
        <v>13877</v>
      </c>
      <c r="B7344" s="3" t="s">
        <v>13878</v>
      </c>
      <c r="C7344" s="2"/>
      <c r="D7344" s="2" t="s">
        <v>16</v>
      </c>
      <c r="E7344" s="4">
        <f>72.59*(1-Z1%)</f>
        <v>72.59</v>
      </c>
      <c r="F7344" s="2">
        <v>1</v>
      </c>
      <c r="G7344" s="2"/>
    </row>
    <row r="7345" spans="1:26" customHeight="1" ht="36" hidden="true" outlineLevel="4">
      <c r="A7345" s="2" t="s">
        <v>13879</v>
      </c>
      <c r="B7345" s="3" t="s">
        <v>13880</v>
      </c>
      <c r="C7345" s="2"/>
      <c r="D7345" s="2" t="s">
        <v>16</v>
      </c>
      <c r="E7345" s="4">
        <f>90.82*(1-Z1%)</f>
        <v>90.82</v>
      </c>
      <c r="F7345" s="2">
        <v>3</v>
      </c>
      <c r="G7345" s="2"/>
    </row>
    <row r="7346" spans="1:26" customHeight="1" ht="36" hidden="true" outlineLevel="4">
      <c r="A7346" s="2" t="s">
        <v>13881</v>
      </c>
      <c r="B7346" s="3" t="s">
        <v>13882</v>
      </c>
      <c r="C7346" s="2"/>
      <c r="D7346" s="2" t="s">
        <v>16</v>
      </c>
      <c r="E7346" s="4">
        <f>90.82*(1-Z1%)</f>
        <v>90.82</v>
      </c>
      <c r="F7346" s="2">
        <v>12</v>
      </c>
      <c r="G7346" s="2"/>
    </row>
    <row r="7347" spans="1:26" customHeight="1" ht="36" hidden="true" outlineLevel="4">
      <c r="A7347" s="2" t="s">
        <v>13883</v>
      </c>
      <c r="B7347" s="3" t="s">
        <v>13884</v>
      </c>
      <c r="C7347" s="2"/>
      <c r="D7347" s="2" t="s">
        <v>16</v>
      </c>
      <c r="E7347" s="4">
        <f>108.97*(1-Z1%)</f>
        <v>108.97</v>
      </c>
      <c r="F7347" s="2">
        <v>3</v>
      </c>
      <c r="G7347" s="2"/>
    </row>
    <row r="7348" spans="1:26" customHeight="1" ht="36" hidden="true" outlineLevel="4">
      <c r="A7348" s="2" t="s">
        <v>13885</v>
      </c>
      <c r="B7348" s="3" t="s">
        <v>13886</v>
      </c>
      <c r="C7348" s="2"/>
      <c r="D7348" s="2" t="s">
        <v>16</v>
      </c>
      <c r="E7348" s="4">
        <f>108.97*(1-Z1%)</f>
        <v>108.97</v>
      </c>
      <c r="F7348" s="2">
        <v>7</v>
      </c>
      <c r="G7348" s="2"/>
    </row>
    <row r="7349" spans="1:26" customHeight="1" ht="36" hidden="true" outlineLevel="4">
      <c r="A7349" s="2" t="s">
        <v>13887</v>
      </c>
      <c r="B7349" s="3" t="s">
        <v>13888</v>
      </c>
      <c r="C7349" s="2"/>
      <c r="D7349" s="2" t="s">
        <v>16</v>
      </c>
      <c r="E7349" s="4">
        <f>106.80*(1-Z1%)</f>
        <v>106.8</v>
      </c>
      <c r="F7349" s="2">
        <v>10</v>
      </c>
      <c r="G7349" s="2"/>
    </row>
    <row r="7350" spans="1:26" customHeight="1" ht="36" hidden="true" outlineLevel="4">
      <c r="A7350" s="2" t="s">
        <v>13889</v>
      </c>
      <c r="B7350" s="3" t="s">
        <v>13890</v>
      </c>
      <c r="C7350" s="2"/>
      <c r="D7350" s="2" t="s">
        <v>16</v>
      </c>
      <c r="E7350" s="4">
        <f>106.80*(1-Z1%)</f>
        <v>106.8</v>
      </c>
      <c r="F7350" s="2">
        <v>1</v>
      </c>
      <c r="G7350" s="2"/>
    </row>
    <row r="7351" spans="1:26" customHeight="1" ht="36" hidden="true" outlineLevel="4">
      <c r="A7351" s="2" t="s">
        <v>13891</v>
      </c>
      <c r="B7351" s="3" t="s">
        <v>13892</v>
      </c>
      <c r="C7351" s="2"/>
      <c r="D7351" s="2" t="s">
        <v>16</v>
      </c>
      <c r="E7351" s="4">
        <f>124.87*(1-Z1%)</f>
        <v>124.87</v>
      </c>
      <c r="F7351" s="2">
        <v>3</v>
      </c>
      <c r="G7351" s="2"/>
    </row>
    <row r="7352" spans="1:26" customHeight="1" ht="36" hidden="true" outlineLevel="4">
      <c r="A7352" s="2" t="s">
        <v>13893</v>
      </c>
      <c r="B7352" s="3" t="s">
        <v>13894</v>
      </c>
      <c r="C7352" s="2"/>
      <c r="D7352" s="2" t="s">
        <v>16</v>
      </c>
      <c r="E7352" s="4">
        <f>124.87*(1-Z1%)</f>
        <v>124.87</v>
      </c>
      <c r="F7352" s="2">
        <v>8</v>
      </c>
      <c r="G7352" s="2"/>
    </row>
    <row r="7353" spans="1:26" customHeight="1" ht="36" hidden="true" outlineLevel="4">
      <c r="A7353" s="2" t="s">
        <v>13895</v>
      </c>
      <c r="B7353" s="3" t="s">
        <v>13896</v>
      </c>
      <c r="C7353" s="2"/>
      <c r="D7353" s="2" t="s">
        <v>16</v>
      </c>
      <c r="E7353" s="4">
        <f>158.90*(1-Z1%)</f>
        <v>158.9</v>
      </c>
      <c r="F7353" s="2">
        <v>2</v>
      </c>
      <c r="G7353" s="2"/>
    </row>
    <row r="7354" spans="1:26" customHeight="1" ht="36" hidden="true" outlineLevel="4">
      <c r="A7354" s="2" t="s">
        <v>13897</v>
      </c>
      <c r="B7354" s="3" t="s">
        <v>13898</v>
      </c>
      <c r="C7354" s="2"/>
      <c r="D7354" s="2" t="s">
        <v>16</v>
      </c>
      <c r="E7354" s="4">
        <f>158.90*(1-Z1%)</f>
        <v>158.9</v>
      </c>
      <c r="F7354" s="2">
        <v>4</v>
      </c>
      <c r="G7354" s="2"/>
    </row>
    <row r="7355" spans="1:26" customHeight="1" ht="36" hidden="true" outlineLevel="4">
      <c r="A7355" s="2" t="s">
        <v>13899</v>
      </c>
      <c r="B7355" s="3" t="s">
        <v>13900</v>
      </c>
      <c r="C7355" s="2"/>
      <c r="D7355" s="2" t="s">
        <v>16</v>
      </c>
      <c r="E7355" s="4">
        <f>164.71*(1-Z1%)</f>
        <v>164.71</v>
      </c>
      <c r="F7355" s="2">
        <v>3</v>
      </c>
      <c r="G7355" s="2"/>
    </row>
    <row r="7356" spans="1:26" customHeight="1" ht="36" hidden="true" outlineLevel="4">
      <c r="A7356" s="2" t="s">
        <v>13901</v>
      </c>
      <c r="B7356" s="3" t="s">
        <v>13902</v>
      </c>
      <c r="C7356" s="2"/>
      <c r="D7356" s="2" t="s">
        <v>16</v>
      </c>
      <c r="E7356" s="4">
        <f>164.71*(1-Z1%)</f>
        <v>164.71</v>
      </c>
      <c r="F7356" s="2">
        <v>7</v>
      </c>
      <c r="G7356" s="2"/>
    </row>
    <row r="7357" spans="1:26" customHeight="1" ht="36" hidden="true" outlineLevel="4">
      <c r="A7357" s="2" t="s">
        <v>13903</v>
      </c>
      <c r="B7357" s="3" t="s">
        <v>13904</v>
      </c>
      <c r="C7357" s="2"/>
      <c r="D7357" s="2" t="s">
        <v>16</v>
      </c>
      <c r="E7357" s="4">
        <f>184.35*(1-Z1%)</f>
        <v>184.35</v>
      </c>
      <c r="F7357" s="2">
        <v>1</v>
      </c>
      <c r="G7357" s="2"/>
    </row>
    <row r="7358" spans="1:26" customHeight="1" ht="36" hidden="true" outlineLevel="4">
      <c r="A7358" s="2" t="s">
        <v>13905</v>
      </c>
      <c r="B7358" s="3" t="s">
        <v>13906</v>
      </c>
      <c r="C7358" s="2"/>
      <c r="D7358" s="2" t="s">
        <v>16</v>
      </c>
      <c r="E7358" s="4">
        <f>184.35*(1-Z1%)</f>
        <v>184.35</v>
      </c>
      <c r="F7358" s="2">
        <v>7</v>
      </c>
      <c r="G7358" s="2"/>
    </row>
    <row r="7359" spans="1:26" customHeight="1" ht="36" hidden="true" outlineLevel="4">
      <c r="A7359" s="2" t="s">
        <v>13907</v>
      </c>
      <c r="B7359" s="3" t="s">
        <v>13908</v>
      </c>
      <c r="C7359" s="2"/>
      <c r="D7359" s="2" t="s">
        <v>16</v>
      </c>
      <c r="E7359" s="4">
        <f>196.45*(1-Z1%)</f>
        <v>196.45</v>
      </c>
      <c r="F7359" s="2">
        <v>3</v>
      </c>
      <c r="G7359" s="2"/>
    </row>
    <row r="7360" spans="1:26" customHeight="1" ht="36" hidden="true" outlineLevel="4">
      <c r="A7360" s="2" t="s">
        <v>13909</v>
      </c>
      <c r="B7360" s="3" t="s">
        <v>13910</v>
      </c>
      <c r="C7360" s="2"/>
      <c r="D7360" s="2" t="s">
        <v>16</v>
      </c>
      <c r="E7360" s="4">
        <f>208.49*(1-Z1%)</f>
        <v>208.49</v>
      </c>
      <c r="F7360" s="2">
        <v>3</v>
      </c>
      <c r="G7360" s="2"/>
    </row>
    <row r="7361" spans="1:26" customHeight="1" ht="36" hidden="true" outlineLevel="4">
      <c r="A7361" s="2" t="s">
        <v>13911</v>
      </c>
      <c r="B7361" s="3" t="s">
        <v>13912</v>
      </c>
      <c r="C7361" s="2"/>
      <c r="D7361" s="2" t="s">
        <v>16</v>
      </c>
      <c r="E7361" s="4">
        <f>208.49*(1-Z1%)</f>
        <v>208.49</v>
      </c>
      <c r="F7361" s="2">
        <v>2</v>
      </c>
      <c r="G7361" s="2"/>
    </row>
    <row r="7362" spans="1:26" customHeight="1" ht="36" hidden="true" outlineLevel="4">
      <c r="A7362" s="2" t="s">
        <v>13913</v>
      </c>
      <c r="B7362" s="3" t="s">
        <v>13914</v>
      </c>
      <c r="C7362" s="2"/>
      <c r="D7362" s="2" t="s">
        <v>16</v>
      </c>
      <c r="E7362" s="4">
        <f>258.03*(1-Z1%)</f>
        <v>258.03</v>
      </c>
      <c r="F7362" s="2">
        <v>3</v>
      </c>
      <c r="G7362" s="2"/>
    </row>
    <row r="7363" spans="1:26" customHeight="1" ht="36" hidden="true" outlineLevel="4">
      <c r="A7363" s="2" t="s">
        <v>13915</v>
      </c>
      <c r="B7363" s="3" t="s">
        <v>13916</v>
      </c>
      <c r="C7363" s="2"/>
      <c r="D7363" s="2" t="s">
        <v>16</v>
      </c>
      <c r="E7363" s="4">
        <f>255.42*(1-Z1%)</f>
        <v>255.42</v>
      </c>
      <c r="F7363" s="2">
        <v>3</v>
      </c>
      <c r="G7363" s="2"/>
    </row>
    <row r="7364" spans="1:26" customHeight="1" ht="36" hidden="true" outlineLevel="4">
      <c r="A7364" s="2" t="s">
        <v>13917</v>
      </c>
      <c r="B7364" s="3" t="s">
        <v>13918</v>
      </c>
      <c r="C7364" s="2"/>
      <c r="D7364" s="2" t="s">
        <v>16</v>
      </c>
      <c r="E7364" s="4">
        <f>295.68*(1-Z1%)</f>
        <v>295.68</v>
      </c>
      <c r="F7364" s="2">
        <v>4</v>
      </c>
      <c r="G7364" s="2"/>
    </row>
    <row r="7365" spans="1:26" customHeight="1" ht="36" hidden="true" outlineLevel="4">
      <c r="A7365" s="2" t="s">
        <v>13919</v>
      </c>
      <c r="B7365" s="3" t="s">
        <v>13920</v>
      </c>
      <c r="C7365" s="2"/>
      <c r="D7365" s="2" t="s">
        <v>16</v>
      </c>
      <c r="E7365" s="4">
        <f>291.51*(1-Z1%)</f>
        <v>291.51</v>
      </c>
      <c r="F7365" s="2">
        <v>3</v>
      </c>
      <c r="G7365" s="2"/>
    </row>
    <row r="7366" spans="1:26" customHeight="1" ht="36" hidden="true" outlineLevel="4">
      <c r="A7366" s="2" t="s">
        <v>13921</v>
      </c>
      <c r="B7366" s="3" t="s">
        <v>13922</v>
      </c>
      <c r="C7366" s="2"/>
      <c r="D7366" s="2" t="s">
        <v>16</v>
      </c>
      <c r="E7366" s="4">
        <f>285.68*(1-Z1%)</f>
        <v>285.68</v>
      </c>
      <c r="F7366" s="2">
        <v>2</v>
      </c>
      <c r="G7366" s="2"/>
    </row>
    <row r="7367" spans="1:26" customHeight="1" ht="36" hidden="true" outlineLevel="4">
      <c r="A7367" s="2" t="s">
        <v>13923</v>
      </c>
      <c r="B7367" s="3" t="s">
        <v>13924</v>
      </c>
      <c r="C7367" s="2"/>
      <c r="D7367" s="2" t="s">
        <v>16</v>
      </c>
      <c r="E7367" s="4">
        <f>317.53*(1-Z1%)</f>
        <v>317.53</v>
      </c>
      <c r="F7367" s="2">
        <v>6</v>
      </c>
      <c r="G7367" s="2"/>
    </row>
    <row r="7368" spans="1:26" customHeight="1" ht="36" hidden="true" outlineLevel="4">
      <c r="A7368" s="2" t="s">
        <v>13925</v>
      </c>
      <c r="B7368" s="3" t="s">
        <v>13926</v>
      </c>
      <c r="C7368" s="2"/>
      <c r="D7368" s="2" t="s">
        <v>16</v>
      </c>
      <c r="E7368" s="4">
        <f>317.53*(1-Z1%)</f>
        <v>317.53</v>
      </c>
      <c r="F7368" s="2">
        <v>4</v>
      </c>
      <c r="G7368" s="2"/>
    </row>
    <row r="7369" spans="1:26" customHeight="1" ht="36" hidden="true" outlineLevel="4">
      <c r="A7369" s="2" t="s">
        <v>13927</v>
      </c>
      <c r="B7369" s="3" t="s">
        <v>13928</v>
      </c>
      <c r="C7369" s="2"/>
      <c r="D7369" s="2" t="s">
        <v>16</v>
      </c>
      <c r="E7369" s="4">
        <f>363.52*(1-Z1%)</f>
        <v>363.52</v>
      </c>
      <c r="F7369" s="2">
        <v>4</v>
      </c>
      <c r="G7369" s="2"/>
    </row>
    <row r="7370" spans="1:26" customHeight="1" ht="36" hidden="true" outlineLevel="4">
      <c r="A7370" s="2" t="s">
        <v>13929</v>
      </c>
      <c r="B7370" s="3" t="s">
        <v>13930</v>
      </c>
      <c r="C7370" s="2"/>
      <c r="D7370" s="2" t="s">
        <v>16</v>
      </c>
      <c r="E7370" s="4">
        <f>370.94*(1-Z1%)</f>
        <v>370.94</v>
      </c>
      <c r="F7370" s="2">
        <v>2</v>
      </c>
      <c r="G7370" s="2"/>
    </row>
    <row r="7371" spans="1:26" customHeight="1" ht="35" hidden="true" outlineLevel="3">
      <c r="A7371" s="5" t="s">
        <v>13931</v>
      </c>
      <c r="B7371" s="5"/>
      <c r="C7371" s="5"/>
      <c r="D7371" s="5"/>
      <c r="E7371" s="5"/>
      <c r="F7371" s="5"/>
      <c r="G7371" s="5"/>
    </row>
    <row r="7372" spans="1:26" customHeight="1" ht="36" hidden="true" outlineLevel="3">
      <c r="A7372" s="2" t="s">
        <v>13932</v>
      </c>
      <c r="B7372" s="3" t="s">
        <v>13933</v>
      </c>
      <c r="C7372" s="2"/>
      <c r="D7372" s="2" t="s">
        <v>16</v>
      </c>
      <c r="E7372" s="4">
        <f>10.36*(1-Z1%)</f>
        <v>10.36</v>
      </c>
      <c r="F7372" s="2">
        <v>5</v>
      </c>
      <c r="G7372" s="2"/>
    </row>
    <row r="7373" spans="1:26" customHeight="1" ht="36" hidden="true" outlineLevel="3">
      <c r="A7373" s="2" t="s">
        <v>13934</v>
      </c>
      <c r="B7373" s="3" t="s">
        <v>13935</v>
      </c>
      <c r="C7373" s="2"/>
      <c r="D7373" s="2" t="s">
        <v>16</v>
      </c>
      <c r="E7373" s="4">
        <f>12.43*(1-Z1%)</f>
        <v>12.43</v>
      </c>
      <c r="F7373" s="2">
        <v>30</v>
      </c>
      <c r="G7373" s="2"/>
    </row>
    <row r="7374" spans="1:26" customHeight="1" ht="36" hidden="true" outlineLevel="3">
      <c r="A7374" s="2" t="s">
        <v>13936</v>
      </c>
      <c r="B7374" s="3" t="s">
        <v>13937</v>
      </c>
      <c r="C7374" s="2"/>
      <c r="D7374" s="2" t="s">
        <v>16</v>
      </c>
      <c r="E7374" s="4">
        <f>15.54*(1-Z1%)</f>
        <v>15.54</v>
      </c>
      <c r="F7374" s="2">
        <v>40</v>
      </c>
      <c r="G7374" s="2"/>
    </row>
    <row r="7375" spans="1:26" customHeight="1" ht="36" hidden="true" outlineLevel="3">
      <c r="A7375" s="2" t="s">
        <v>13938</v>
      </c>
      <c r="B7375" s="3" t="s">
        <v>13939</v>
      </c>
      <c r="C7375" s="2"/>
      <c r="D7375" s="2" t="s">
        <v>16</v>
      </c>
      <c r="E7375" s="4">
        <f>18.65*(1-Z1%)</f>
        <v>18.65</v>
      </c>
      <c r="F7375" s="2">
        <v>30</v>
      </c>
      <c r="G7375" s="2"/>
    </row>
    <row r="7376" spans="1:26" customHeight="1" ht="36" hidden="true" outlineLevel="3">
      <c r="A7376" s="2" t="s">
        <v>13940</v>
      </c>
      <c r="B7376" s="3" t="s">
        <v>13941</v>
      </c>
      <c r="C7376" s="2"/>
      <c r="D7376" s="2" t="s">
        <v>16</v>
      </c>
      <c r="E7376" s="4">
        <f>27.45*(1-Z1%)</f>
        <v>27.45</v>
      </c>
      <c r="F7376" s="2">
        <v>40</v>
      </c>
      <c r="G7376" s="2"/>
    </row>
    <row r="7377" spans="1:26" customHeight="1" ht="36" hidden="true" outlineLevel="3">
      <c r="A7377" s="2" t="s">
        <v>13942</v>
      </c>
      <c r="B7377" s="3" t="s">
        <v>13943</v>
      </c>
      <c r="C7377" s="2"/>
      <c r="D7377" s="2" t="s">
        <v>16</v>
      </c>
      <c r="E7377" s="4">
        <f>36.24*(1-Z1%)</f>
        <v>36.24</v>
      </c>
      <c r="F7377" s="2">
        <v>40</v>
      </c>
      <c r="G7377" s="2"/>
    </row>
    <row r="7378" spans="1:26" customHeight="1" ht="18" hidden="true" outlineLevel="3">
      <c r="A7378" s="2" t="s">
        <v>13944</v>
      </c>
      <c r="B7378" s="3" t="s">
        <v>13945</v>
      </c>
      <c r="C7378" s="2"/>
      <c r="D7378" s="2" t="s">
        <v>16</v>
      </c>
      <c r="E7378" s="4">
        <f>5.69*(1-Z1%)</f>
        <v>5.69</v>
      </c>
      <c r="F7378" s="2">
        <v>35</v>
      </c>
      <c r="G7378" s="2"/>
    </row>
    <row r="7379" spans="1:26" customHeight="1" ht="36" hidden="true" outlineLevel="3">
      <c r="A7379" s="2" t="s">
        <v>13946</v>
      </c>
      <c r="B7379" s="3" t="s">
        <v>13947</v>
      </c>
      <c r="C7379" s="2"/>
      <c r="D7379" s="2" t="s">
        <v>16</v>
      </c>
      <c r="E7379" s="4">
        <f>7.25*(1-Z1%)</f>
        <v>7.25</v>
      </c>
      <c r="F7379" s="2">
        <v>15</v>
      </c>
      <c r="G7379" s="2"/>
    </row>
    <row r="7380" spans="1:26" customHeight="1" ht="35" hidden="true" outlineLevel="3">
      <c r="A7380" s="5" t="s">
        <v>13948</v>
      </c>
      <c r="B7380" s="5"/>
      <c r="C7380" s="5"/>
      <c r="D7380" s="5"/>
      <c r="E7380" s="5"/>
      <c r="F7380" s="5"/>
      <c r="G7380" s="5"/>
    </row>
    <row r="7381" spans="1:26" customHeight="1" ht="18" hidden="true" outlineLevel="3">
      <c r="A7381" s="2" t="s">
        <v>13949</v>
      </c>
      <c r="B7381" s="3" t="s">
        <v>13950</v>
      </c>
      <c r="C7381" s="2"/>
      <c r="D7381" s="2" t="s">
        <v>16</v>
      </c>
      <c r="E7381" s="4">
        <f>10.81*(1-Z1%)</f>
        <v>10.81</v>
      </c>
      <c r="F7381" s="2">
        <v>200</v>
      </c>
      <c r="G7381" s="2"/>
    </row>
    <row r="7382" spans="1:26" customHeight="1" ht="18" hidden="true" outlineLevel="3">
      <c r="A7382" s="2" t="s">
        <v>13951</v>
      </c>
      <c r="B7382" s="3" t="s">
        <v>13952</v>
      </c>
      <c r="C7382" s="2"/>
      <c r="D7382" s="2" t="s">
        <v>16</v>
      </c>
      <c r="E7382" s="4">
        <f>15.38*(1-Z1%)</f>
        <v>15.38</v>
      </c>
      <c r="F7382" s="2">
        <v>200</v>
      </c>
      <c r="G7382" s="2"/>
    </row>
    <row r="7383" spans="1:26" customHeight="1" ht="18" hidden="true" outlineLevel="3">
      <c r="A7383" s="2" t="s">
        <v>13953</v>
      </c>
      <c r="B7383" s="3" t="s">
        <v>13954</v>
      </c>
      <c r="C7383" s="2"/>
      <c r="D7383" s="2" t="s">
        <v>16</v>
      </c>
      <c r="E7383" s="4">
        <f>25.85*(1-Z1%)</f>
        <v>25.85</v>
      </c>
      <c r="F7383" s="2">
        <v>100</v>
      </c>
      <c r="G7383" s="2"/>
    </row>
    <row r="7384" spans="1:26" customHeight="1" ht="18" hidden="true" outlineLevel="3">
      <c r="A7384" s="2" t="s">
        <v>13955</v>
      </c>
      <c r="B7384" s="3" t="s">
        <v>13956</v>
      </c>
      <c r="C7384" s="2"/>
      <c r="D7384" s="2" t="s">
        <v>16</v>
      </c>
      <c r="E7384" s="4">
        <f>36.04*(1-Z1%)</f>
        <v>36.04</v>
      </c>
      <c r="F7384" s="2">
        <v>50</v>
      </c>
      <c r="G7384" s="2"/>
    </row>
    <row r="7385" spans="1:26" customHeight="1" ht="18" hidden="true" outlineLevel="3">
      <c r="A7385" s="2" t="s">
        <v>13957</v>
      </c>
      <c r="B7385" s="3" t="s">
        <v>13958</v>
      </c>
      <c r="C7385" s="2"/>
      <c r="D7385" s="2" t="s">
        <v>16</v>
      </c>
      <c r="E7385" s="4">
        <f>14.02*(1-Z1%)</f>
        <v>14.02</v>
      </c>
      <c r="F7385" s="2">
        <v>100</v>
      </c>
      <c r="G7385" s="2"/>
    </row>
    <row r="7386" spans="1:26" customHeight="1" ht="35" hidden="true" outlineLevel="2">
      <c r="A7386" s="5" t="s">
        <v>13959</v>
      </c>
      <c r="B7386" s="5"/>
      <c r="C7386" s="5"/>
      <c r="D7386" s="5"/>
      <c r="E7386" s="5"/>
      <c r="F7386" s="5"/>
      <c r="G7386" s="5"/>
    </row>
    <row r="7387" spans="1:26" customHeight="1" ht="35" hidden="true" outlineLevel="3">
      <c r="A7387" s="5" t="s">
        <v>13960</v>
      </c>
      <c r="B7387" s="5"/>
      <c r="C7387" s="5"/>
      <c r="D7387" s="5"/>
      <c r="E7387" s="5"/>
      <c r="F7387" s="5"/>
      <c r="G7387" s="5"/>
    </row>
    <row r="7388" spans="1:26" customHeight="1" ht="18" hidden="true" outlineLevel="3">
      <c r="A7388" s="2" t="s">
        <v>13961</v>
      </c>
      <c r="B7388" s="3" t="s">
        <v>13962</v>
      </c>
      <c r="C7388" s="2"/>
      <c r="D7388" s="2" t="s">
        <v>16</v>
      </c>
      <c r="E7388" s="4">
        <f>26.96*(1-Z1%)</f>
        <v>26.96</v>
      </c>
      <c r="F7388" s="2">
        <v>100</v>
      </c>
      <c r="G7388" s="2"/>
    </row>
    <row r="7389" spans="1:26" customHeight="1" ht="35" hidden="true" outlineLevel="3">
      <c r="A7389" s="5" t="s">
        <v>13963</v>
      </c>
      <c r="B7389" s="5"/>
      <c r="C7389" s="5"/>
      <c r="D7389" s="5"/>
      <c r="E7389" s="5"/>
      <c r="F7389" s="5"/>
      <c r="G7389" s="5"/>
    </row>
    <row r="7390" spans="1:26" customHeight="1" ht="35" hidden="true" outlineLevel="4">
      <c r="A7390" s="5" t="s">
        <v>13964</v>
      </c>
      <c r="B7390" s="5"/>
      <c r="C7390" s="5"/>
      <c r="D7390" s="5"/>
      <c r="E7390" s="5"/>
      <c r="F7390" s="5"/>
      <c r="G7390" s="5"/>
    </row>
    <row r="7391" spans="1:26" customHeight="1" ht="36" hidden="true" outlineLevel="4">
      <c r="A7391" s="2" t="s">
        <v>13965</v>
      </c>
      <c r="B7391" s="3" t="s">
        <v>13966</v>
      </c>
      <c r="C7391" s="2"/>
      <c r="D7391" s="2" t="s">
        <v>16</v>
      </c>
      <c r="E7391" s="4">
        <f>185.63*(1-Z1%)</f>
        <v>185.63</v>
      </c>
      <c r="F7391" s="2">
        <v>100</v>
      </c>
      <c r="G7391" s="2"/>
    </row>
    <row r="7392" spans="1:26" customHeight="1" ht="35" hidden="true" outlineLevel="4">
      <c r="A7392" s="5" t="s">
        <v>13967</v>
      </c>
      <c r="B7392" s="5"/>
      <c r="C7392" s="5"/>
      <c r="D7392" s="5"/>
      <c r="E7392" s="5"/>
      <c r="F7392" s="5"/>
      <c r="G7392" s="5"/>
    </row>
    <row r="7393" spans="1:26" customHeight="1" ht="18" hidden="true" outlineLevel="4">
      <c r="A7393" s="2" t="s">
        <v>13968</v>
      </c>
      <c r="B7393" s="3" t="s">
        <v>13969</v>
      </c>
      <c r="C7393" s="2"/>
      <c r="D7393" s="2" t="s">
        <v>16</v>
      </c>
      <c r="E7393" s="4">
        <f>8.33*(1-Z1%)</f>
        <v>8.33</v>
      </c>
      <c r="F7393" s="2">
        <v>100</v>
      </c>
      <c r="G7393" s="2"/>
    </row>
    <row r="7394" spans="1:26" customHeight="1" ht="35" hidden="true" outlineLevel="3">
      <c r="A7394" s="5" t="s">
        <v>13970</v>
      </c>
      <c r="B7394" s="5"/>
      <c r="C7394" s="5"/>
      <c r="D7394" s="5"/>
      <c r="E7394" s="5"/>
      <c r="F7394" s="5"/>
      <c r="G7394" s="5"/>
    </row>
    <row r="7395" spans="1:26" customHeight="1" ht="18" hidden="true" outlineLevel="3">
      <c r="A7395" s="2" t="s">
        <v>13971</v>
      </c>
      <c r="B7395" s="3" t="s">
        <v>13972</v>
      </c>
      <c r="C7395" s="2"/>
      <c r="D7395" s="2" t="s">
        <v>16</v>
      </c>
      <c r="E7395" s="4">
        <f>46.31*(1-Z1%)</f>
        <v>46.31</v>
      </c>
      <c r="F7395" s="2">
        <v>200</v>
      </c>
      <c r="G7395" s="2"/>
    </row>
    <row r="7396" spans="1:26" customHeight="1" ht="18" hidden="true" outlineLevel="3">
      <c r="A7396" s="2" t="s">
        <v>13973</v>
      </c>
      <c r="B7396" s="3" t="s">
        <v>13974</v>
      </c>
      <c r="C7396" s="2"/>
      <c r="D7396" s="2" t="s">
        <v>16</v>
      </c>
      <c r="E7396" s="4">
        <f>71.40*(1-Z1%)</f>
        <v>71.4</v>
      </c>
      <c r="F7396" s="2">
        <v>200</v>
      </c>
      <c r="G7396" s="2"/>
    </row>
    <row r="7397" spans="1:26" customHeight="1" ht="18" hidden="true" outlineLevel="3">
      <c r="A7397" s="2" t="s">
        <v>13975</v>
      </c>
      <c r="B7397" s="3" t="s">
        <v>13976</v>
      </c>
      <c r="C7397" s="2"/>
      <c r="D7397" s="2" t="s">
        <v>16</v>
      </c>
      <c r="E7397" s="4">
        <f>65.95*(1-Z1%)</f>
        <v>65.95</v>
      </c>
      <c r="F7397" s="2">
        <v>100</v>
      </c>
      <c r="G7397" s="2"/>
    </row>
    <row r="7398" spans="1:26" customHeight="1" ht="18" hidden="true" outlineLevel="3">
      <c r="A7398" s="2" t="s">
        <v>13977</v>
      </c>
      <c r="B7398" s="3" t="s">
        <v>13978</v>
      </c>
      <c r="C7398" s="2"/>
      <c r="D7398" s="2" t="s">
        <v>16</v>
      </c>
      <c r="E7398" s="4">
        <f>106.49*(1-Z1%)</f>
        <v>106.49</v>
      </c>
      <c r="F7398" s="2">
        <v>100</v>
      </c>
      <c r="G7398" s="2"/>
    </row>
    <row r="7399" spans="1:26" customHeight="1" ht="18" hidden="true" outlineLevel="3">
      <c r="A7399" s="2" t="s">
        <v>13979</v>
      </c>
      <c r="B7399" s="3" t="s">
        <v>13980</v>
      </c>
      <c r="C7399" s="2"/>
      <c r="D7399" s="2" t="s">
        <v>16</v>
      </c>
      <c r="E7399" s="4">
        <f>93.36*(1-Z1%)</f>
        <v>93.36</v>
      </c>
      <c r="F7399" s="2">
        <v>100</v>
      </c>
      <c r="G7399" s="2"/>
    </row>
    <row r="7400" spans="1:26" customHeight="1" ht="18" hidden="true" outlineLevel="3">
      <c r="A7400" s="2" t="s">
        <v>13981</v>
      </c>
      <c r="B7400" s="3" t="s">
        <v>13982</v>
      </c>
      <c r="C7400" s="2"/>
      <c r="D7400" s="2" t="s">
        <v>16</v>
      </c>
      <c r="E7400" s="4">
        <f>150.55*(1-Z1%)</f>
        <v>150.55</v>
      </c>
      <c r="F7400" s="2">
        <v>100</v>
      </c>
      <c r="G7400" s="2"/>
    </row>
    <row r="7401" spans="1:26" customHeight="1" ht="35" hidden="true" outlineLevel="3">
      <c r="A7401" s="5" t="s">
        <v>13983</v>
      </c>
      <c r="B7401" s="5"/>
      <c r="C7401" s="5"/>
      <c r="D7401" s="5"/>
      <c r="E7401" s="5"/>
      <c r="F7401" s="5"/>
      <c r="G7401" s="5"/>
    </row>
    <row r="7402" spans="1:26" customHeight="1" ht="18" hidden="true" outlineLevel="3">
      <c r="A7402" s="2" t="s">
        <v>13984</v>
      </c>
      <c r="B7402" s="3" t="s">
        <v>13985</v>
      </c>
      <c r="C7402" s="2"/>
      <c r="D7402" s="2" t="s">
        <v>16</v>
      </c>
      <c r="E7402" s="4">
        <f>35.20*(1-Z1%)</f>
        <v>35.2</v>
      </c>
      <c r="F7402" s="2">
        <v>100</v>
      </c>
      <c r="G7402" s="2"/>
    </row>
    <row r="7403" spans="1:26" customHeight="1" ht="18" hidden="true" outlineLevel="3">
      <c r="A7403" s="2" t="s">
        <v>13986</v>
      </c>
      <c r="B7403" s="3" t="s">
        <v>13987</v>
      </c>
      <c r="C7403" s="2"/>
      <c r="D7403" s="2" t="s">
        <v>16</v>
      </c>
      <c r="E7403" s="4">
        <f>73.44*(1-Z1%)</f>
        <v>73.44</v>
      </c>
      <c r="F7403" s="2">
        <v>100</v>
      </c>
      <c r="G7403" s="2"/>
    </row>
    <row r="7404" spans="1:26" customHeight="1" ht="35" hidden="true" outlineLevel="3">
      <c r="A7404" s="5" t="s">
        <v>13988</v>
      </c>
      <c r="B7404" s="5"/>
      <c r="C7404" s="5"/>
      <c r="D7404" s="5"/>
      <c r="E7404" s="5"/>
      <c r="F7404" s="5"/>
      <c r="G7404" s="5"/>
    </row>
    <row r="7405" spans="1:26" customHeight="1" ht="18" hidden="true" outlineLevel="3">
      <c r="A7405" s="2" t="s">
        <v>13989</v>
      </c>
      <c r="B7405" s="3" t="s">
        <v>13990</v>
      </c>
      <c r="C7405" s="2"/>
      <c r="D7405" s="2" t="s">
        <v>16</v>
      </c>
      <c r="E7405" s="4">
        <f>32.89*(1-Z1%)</f>
        <v>32.89</v>
      </c>
      <c r="F7405" s="2">
        <v>50</v>
      </c>
      <c r="G7405" s="2"/>
    </row>
    <row r="7406" spans="1:26" customHeight="1" ht="18" hidden="true" outlineLevel="3">
      <c r="A7406" s="2" t="s">
        <v>13991</v>
      </c>
      <c r="B7406" s="3" t="s">
        <v>13992</v>
      </c>
      <c r="C7406" s="2"/>
      <c r="D7406" s="2" t="s">
        <v>16</v>
      </c>
      <c r="E7406" s="4">
        <f>66.51*(1-Z1%)</f>
        <v>66.51</v>
      </c>
      <c r="F7406" s="2">
        <v>150</v>
      </c>
      <c r="G7406" s="2"/>
    </row>
    <row r="7407" spans="1:26" customHeight="1" ht="35" hidden="true" outlineLevel="3">
      <c r="A7407" s="5" t="s">
        <v>13993</v>
      </c>
      <c r="B7407" s="5"/>
      <c r="C7407" s="5"/>
      <c r="D7407" s="5"/>
      <c r="E7407" s="5"/>
      <c r="F7407" s="5"/>
      <c r="G7407" s="5"/>
    </row>
    <row r="7408" spans="1:26" customHeight="1" ht="36" hidden="true" outlineLevel="3">
      <c r="A7408" s="2" t="s">
        <v>13994</v>
      </c>
      <c r="B7408" s="3" t="s">
        <v>13995</v>
      </c>
      <c r="C7408" s="2"/>
      <c r="D7408" s="2" t="s">
        <v>16</v>
      </c>
      <c r="E7408" s="4">
        <f>22.49*(1-Z1%)</f>
        <v>22.49</v>
      </c>
      <c r="F7408" s="2">
        <v>305</v>
      </c>
      <c r="G7408" s="2"/>
    </row>
    <row r="7409" spans="1:26" customHeight="1" ht="36" hidden="true" outlineLevel="3">
      <c r="A7409" s="2" t="s">
        <v>13996</v>
      </c>
      <c r="B7409" s="3" t="s">
        <v>13997</v>
      </c>
      <c r="C7409" s="2"/>
      <c r="D7409" s="2" t="s">
        <v>16</v>
      </c>
      <c r="E7409" s="4">
        <f>31.50*(1-Z1%)</f>
        <v>31.5</v>
      </c>
      <c r="F7409" s="2">
        <v>300</v>
      </c>
      <c r="G7409" s="2"/>
    </row>
    <row r="7410" spans="1:26" customHeight="1" ht="36" hidden="true" outlineLevel="3">
      <c r="A7410" s="2" t="s">
        <v>13998</v>
      </c>
      <c r="B7410" s="3" t="s">
        <v>13999</v>
      </c>
      <c r="C7410" s="2"/>
      <c r="D7410" s="2" t="s">
        <v>16</v>
      </c>
      <c r="E7410" s="4">
        <f>34.25*(1-Z1%)</f>
        <v>34.25</v>
      </c>
      <c r="F7410" s="2">
        <v>200</v>
      </c>
      <c r="G7410" s="2"/>
    </row>
    <row r="7411" spans="1:26" customHeight="1" ht="35" hidden="true" outlineLevel="3">
      <c r="A7411" s="5" t="s">
        <v>14000</v>
      </c>
      <c r="B7411" s="5"/>
      <c r="C7411" s="5"/>
      <c r="D7411" s="5"/>
      <c r="E7411" s="5"/>
      <c r="F7411" s="5"/>
      <c r="G7411" s="5"/>
    </row>
    <row r="7412" spans="1:26" customHeight="1" ht="18" hidden="true" outlineLevel="3">
      <c r="A7412" s="2" t="s">
        <v>14001</v>
      </c>
      <c r="B7412" s="3" t="s">
        <v>14002</v>
      </c>
      <c r="C7412" s="2"/>
      <c r="D7412" s="2" t="s">
        <v>16</v>
      </c>
      <c r="E7412" s="4">
        <f>34.96*(1-Z1%)</f>
        <v>34.96</v>
      </c>
      <c r="F7412" s="2">
        <v>100</v>
      </c>
      <c r="G7412" s="2"/>
    </row>
    <row r="7413" spans="1:26" customHeight="1" ht="18" hidden="true" outlineLevel="3">
      <c r="A7413" s="2" t="s">
        <v>14003</v>
      </c>
      <c r="B7413" s="3" t="s">
        <v>14004</v>
      </c>
      <c r="C7413" s="2"/>
      <c r="D7413" s="2" t="s">
        <v>16</v>
      </c>
      <c r="E7413" s="4">
        <f>70.39*(1-Z1%)</f>
        <v>70.39</v>
      </c>
      <c r="F7413" s="2">
        <v>200</v>
      </c>
      <c r="G7413" s="2"/>
    </row>
    <row r="7414" spans="1:26" customHeight="1" ht="35" hidden="true" outlineLevel="3">
      <c r="A7414" s="5" t="s">
        <v>14005</v>
      </c>
      <c r="B7414" s="5"/>
      <c r="C7414" s="5"/>
      <c r="D7414" s="5"/>
      <c r="E7414" s="5"/>
      <c r="F7414" s="5"/>
      <c r="G7414" s="5"/>
    </row>
    <row r="7415" spans="1:26" customHeight="1" ht="36" hidden="true" outlineLevel="3">
      <c r="A7415" s="2" t="s">
        <v>14006</v>
      </c>
      <c r="B7415" s="3" t="s">
        <v>14007</v>
      </c>
      <c r="C7415" s="2"/>
      <c r="D7415" s="2" t="s">
        <v>16</v>
      </c>
      <c r="E7415" s="4">
        <f>44.45*(1-Z1%)</f>
        <v>44.45</v>
      </c>
      <c r="F7415" s="2">
        <v>100</v>
      </c>
      <c r="G7415" s="2"/>
    </row>
    <row r="7416" spans="1:26" customHeight="1" ht="36" hidden="true" outlineLevel="3">
      <c r="A7416" s="2" t="s">
        <v>14008</v>
      </c>
      <c r="B7416" s="3" t="s">
        <v>14009</v>
      </c>
      <c r="C7416" s="2"/>
      <c r="D7416" s="2" t="s">
        <v>16</v>
      </c>
      <c r="E7416" s="4">
        <f>67.98*(1-Z1%)</f>
        <v>67.98</v>
      </c>
      <c r="F7416" s="2">
        <v>100</v>
      </c>
      <c r="G7416" s="2"/>
    </row>
    <row r="7417" spans="1:26" customHeight="1" ht="18" hidden="true" outlineLevel="3">
      <c r="A7417" s="2" t="s">
        <v>14010</v>
      </c>
      <c r="B7417" s="3" t="s">
        <v>14011</v>
      </c>
      <c r="C7417" s="2"/>
      <c r="D7417" s="2" t="s">
        <v>16</v>
      </c>
      <c r="E7417" s="4">
        <f>38.13*(1-Z1%)</f>
        <v>38.13</v>
      </c>
      <c r="F7417" s="2">
        <v>300</v>
      </c>
      <c r="G7417" s="2"/>
    </row>
    <row r="7418" spans="1:26" customHeight="1" ht="18" hidden="true" outlineLevel="3">
      <c r="A7418" s="2" t="s">
        <v>14012</v>
      </c>
      <c r="B7418" s="3" t="s">
        <v>14013</v>
      </c>
      <c r="C7418" s="2"/>
      <c r="D7418" s="2" t="s">
        <v>16</v>
      </c>
      <c r="E7418" s="4">
        <f>26.00*(1-Z1%)</f>
        <v>26</v>
      </c>
      <c r="F7418" s="2">
        <v>100</v>
      </c>
      <c r="G7418" s="2"/>
    </row>
    <row r="7419" spans="1:26" customHeight="1" ht="35" hidden="true" outlineLevel="2">
      <c r="A7419" s="5" t="s">
        <v>14014</v>
      </c>
      <c r="B7419" s="5"/>
      <c r="C7419" s="5"/>
      <c r="D7419" s="5"/>
      <c r="E7419" s="5"/>
      <c r="F7419" s="5"/>
      <c r="G7419" s="5"/>
    </row>
    <row r="7420" spans="1:26" customHeight="1" ht="35" hidden="true" outlineLevel="3">
      <c r="A7420" s="5" t="s">
        <v>14015</v>
      </c>
      <c r="B7420" s="5"/>
      <c r="C7420" s="5"/>
      <c r="D7420" s="5"/>
      <c r="E7420" s="5"/>
      <c r="F7420" s="5"/>
      <c r="G7420" s="5"/>
    </row>
    <row r="7421" spans="1:26" customHeight="1" ht="36" hidden="true" outlineLevel="3">
      <c r="A7421" s="2" t="s">
        <v>14016</v>
      </c>
      <c r="B7421" s="3" t="s">
        <v>14017</v>
      </c>
      <c r="C7421" s="2"/>
      <c r="D7421" s="2" t="s">
        <v>16</v>
      </c>
      <c r="E7421" s="4">
        <f>4.95*(1-Z1%)</f>
        <v>4.95</v>
      </c>
      <c r="F7421" s="2">
        <v>50</v>
      </c>
      <c r="G7421" s="2"/>
    </row>
    <row r="7422" spans="1:26" customHeight="1" ht="36" hidden="true" outlineLevel="3">
      <c r="A7422" s="2" t="s">
        <v>14018</v>
      </c>
      <c r="B7422" s="3" t="s">
        <v>14019</v>
      </c>
      <c r="C7422" s="2"/>
      <c r="D7422" s="2" t="s">
        <v>16</v>
      </c>
      <c r="E7422" s="4">
        <f>6.19*(1-Z1%)</f>
        <v>6.19</v>
      </c>
      <c r="F7422" s="2">
        <v>50</v>
      </c>
      <c r="G7422" s="2"/>
    </row>
    <row r="7423" spans="1:26" customHeight="1" ht="35" hidden="true" outlineLevel="3">
      <c r="A7423" s="5" t="s">
        <v>14020</v>
      </c>
      <c r="B7423" s="5"/>
      <c r="C7423" s="5"/>
      <c r="D7423" s="5"/>
      <c r="E7423" s="5"/>
      <c r="F7423" s="5"/>
      <c r="G7423" s="5"/>
    </row>
    <row r="7424" spans="1:26" customHeight="1" ht="18" hidden="true" outlineLevel="3">
      <c r="A7424" s="2" t="s">
        <v>14021</v>
      </c>
      <c r="B7424" s="3" t="s">
        <v>14022</v>
      </c>
      <c r="C7424" s="2"/>
      <c r="D7424" s="2" t="s">
        <v>16</v>
      </c>
      <c r="E7424" s="4">
        <f>27.23*(1-Z1%)</f>
        <v>27.23</v>
      </c>
      <c r="F7424" s="2">
        <v>40</v>
      </c>
      <c r="G7424" s="2"/>
    </row>
    <row r="7425" spans="1:26" customHeight="1" ht="18" hidden="true" outlineLevel="3">
      <c r="A7425" s="2" t="s">
        <v>14023</v>
      </c>
      <c r="B7425" s="3" t="s">
        <v>14024</v>
      </c>
      <c r="C7425" s="2"/>
      <c r="D7425" s="2" t="s">
        <v>16</v>
      </c>
      <c r="E7425" s="4">
        <f>29.69*(1-Z1%)</f>
        <v>29.69</v>
      </c>
      <c r="F7425" s="2">
        <v>20</v>
      </c>
      <c r="G7425" s="2"/>
    </row>
    <row r="7426" spans="1:26" customHeight="1" ht="18" hidden="true" outlineLevel="3">
      <c r="A7426" s="2" t="s">
        <v>14025</v>
      </c>
      <c r="B7426" s="3" t="s">
        <v>14026</v>
      </c>
      <c r="C7426" s="2"/>
      <c r="D7426" s="2" t="s">
        <v>16</v>
      </c>
      <c r="E7426" s="4">
        <f>33.46*(1-Z1%)</f>
        <v>33.46</v>
      </c>
      <c r="F7426" s="2">
        <v>40</v>
      </c>
      <c r="G7426" s="2"/>
    </row>
    <row r="7427" spans="1:26" customHeight="1" ht="18" hidden="true" outlineLevel="3">
      <c r="A7427" s="2" t="s">
        <v>14027</v>
      </c>
      <c r="B7427" s="3" t="s">
        <v>14028</v>
      </c>
      <c r="C7427" s="2"/>
      <c r="D7427" s="2" t="s">
        <v>16</v>
      </c>
      <c r="E7427" s="4">
        <f>43.20*(1-Z1%)</f>
        <v>43.2</v>
      </c>
      <c r="F7427" s="2">
        <v>20</v>
      </c>
      <c r="G7427" s="2"/>
    </row>
    <row r="7428" spans="1:26" customHeight="1" ht="18" hidden="true" outlineLevel="3">
      <c r="A7428" s="2" t="s">
        <v>14029</v>
      </c>
      <c r="B7428" s="3" t="s">
        <v>14030</v>
      </c>
      <c r="C7428" s="2"/>
      <c r="D7428" s="2" t="s">
        <v>16</v>
      </c>
      <c r="E7428" s="4">
        <f>66.11*(1-Z1%)</f>
        <v>66.11</v>
      </c>
      <c r="F7428" s="2">
        <v>8</v>
      </c>
      <c r="G7428" s="2"/>
    </row>
    <row r="7429" spans="1:26" customHeight="1" ht="36" hidden="true" outlineLevel="3">
      <c r="A7429" s="2" t="s">
        <v>14031</v>
      </c>
      <c r="B7429" s="3" t="s">
        <v>14032</v>
      </c>
      <c r="C7429" s="2"/>
      <c r="D7429" s="2" t="s">
        <v>16</v>
      </c>
      <c r="E7429" s="4">
        <f>94.80*(1-Z1%)</f>
        <v>94.8</v>
      </c>
      <c r="F7429" s="2">
        <v>2</v>
      </c>
      <c r="G7429" s="2"/>
    </row>
    <row r="7430" spans="1:26" customHeight="1" ht="36" hidden="true" outlineLevel="3">
      <c r="A7430" s="2" t="s">
        <v>14033</v>
      </c>
      <c r="B7430" s="3" t="s">
        <v>14034</v>
      </c>
      <c r="C7430" s="2"/>
      <c r="D7430" s="2" t="s">
        <v>16</v>
      </c>
      <c r="E7430" s="4">
        <f>241.35*(1-Z1%)</f>
        <v>241.35</v>
      </c>
      <c r="F7430" s="2">
        <v>2</v>
      </c>
      <c r="G7430" s="2"/>
    </row>
    <row r="7431" spans="1:26" customHeight="1" ht="36" hidden="true" outlineLevel="3">
      <c r="A7431" s="2" t="s">
        <v>14035</v>
      </c>
      <c r="B7431" s="3" t="s">
        <v>14036</v>
      </c>
      <c r="C7431" s="2"/>
      <c r="D7431" s="2" t="s">
        <v>16</v>
      </c>
      <c r="E7431" s="4">
        <f>193.27*(1-Z1%)</f>
        <v>193.27</v>
      </c>
      <c r="F7431" s="2">
        <v>2</v>
      </c>
      <c r="G7431" s="2"/>
    </row>
    <row r="7432" spans="1:26" customHeight="1" ht="18" hidden="true" outlineLevel="3">
      <c r="A7432" s="2" t="s">
        <v>14037</v>
      </c>
      <c r="B7432" s="3" t="s">
        <v>14038</v>
      </c>
      <c r="C7432" s="2"/>
      <c r="D7432" s="2" t="s">
        <v>16</v>
      </c>
      <c r="E7432" s="4">
        <f>13.23*(1-Z1%)</f>
        <v>13.23</v>
      </c>
      <c r="F7432" s="2">
        <v>2</v>
      </c>
      <c r="G7432" s="2"/>
    </row>
    <row r="7433" spans="1:26" customHeight="1" ht="18" hidden="true" outlineLevel="3">
      <c r="A7433" s="2" t="s">
        <v>14039</v>
      </c>
      <c r="B7433" s="3" t="s">
        <v>14040</v>
      </c>
      <c r="C7433" s="2"/>
      <c r="D7433" s="2" t="s">
        <v>16</v>
      </c>
      <c r="E7433" s="4">
        <f>39.34*(1-Z1%)</f>
        <v>39.34</v>
      </c>
      <c r="F7433" s="2">
        <v>15</v>
      </c>
      <c r="G7433" s="2"/>
    </row>
    <row r="7434" spans="1:26" customHeight="1" ht="18" hidden="true" outlineLevel="3">
      <c r="A7434" s="2" t="s">
        <v>14041</v>
      </c>
      <c r="B7434" s="3" t="s">
        <v>14042</v>
      </c>
      <c r="C7434" s="2"/>
      <c r="D7434" s="2" t="s">
        <v>16</v>
      </c>
      <c r="E7434" s="4">
        <f>96.00*(1-Z1%)</f>
        <v>96</v>
      </c>
      <c r="F7434" s="2">
        <v>10</v>
      </c>
      <c r="G7434" s="2"/>
    </row>
    <row r="7435" spans="1:26" customHeight="1" ht="18" hidden="true" outlineLevel="3">
      <c r="A7435" s="2" t="s">
        <v>14043</v>
      </c>
      <c r="B7435" s="3" t="s">
        <v>14044</v>
      </c>
      <c r="C7435" s="2"/>
      <c r="D7435" s="2" t="s">
        <v>16</v>
      </c>
      <c r="E7435" s="4">
        <f>49.35*(1-Z1%)</f>
        <v>49.35</v>
      </c>
      <c r="F7435" s="2">
        <v>1</v>
      </c>
      <c r="G7435" s="2"/>
    </row>
    <row r="7436" spans="1:26" customHeight="1" ht="18" hidden="true" outlineLevel="3">
      <c r="A7436" s="2" t="s">
        <v>14045</v>
      </c>
      <c r="B7436" s="3" t="s">
        <v>14046</v>
      </c>
      <c r="C7436" s="2"/>
      <c r="D7436" s="2" t="s">
        <v>16</v>
      </c>
      <c r="E7436" s="4">
        <f>113.88*(1-Z1%)</f>
        <v>113.88</v>
      </c>
      <c r="F7436" s="2">
        <v>3</v>
      </c>
      <c r="G7436" s="2"/>
    </row>
    <row r="7437" spans="1:26" customHeight="1" ht="18" hidden="true" outlineLevel="3">
      <c r="A7437" s="2" t="s">
        <v>14047</v>
      </c>
      <c r="B7437" s="3" t="s">
        <v>14048</v>
      </c>
      <c r="C7437" s="2"/>
      <c r="D7437" s="2" t="s">
        <v>16</v>
      </c>
      <c r="E7437" s="4">
        <f>31.65*(1-Z1%)</f>
        <v>31.65</v>
      </c>
      <c r="F7437" s="2">
        <v>5</v>
      </c>
      <c r="G7437" s="2"/>
    </row>
    <row r="7438" spans="1:26" customHeight="1" ht="35" hidden="true" outlineLevel="3">
      <c r="A7438" s="5" t="s">
        <v>14049</v>
      </c>
      <c r="B7438" s="5"/>
      <c r="C7438" s="5"/>
      <c r="D7438" s="5"/>
      <c r="E7438" s="5"/>
      <c r="F7438" s="5"/>
      <c r="G7438" s="5"/>
    </row>
    <row r="7439" spans="1:26" customHeight="1" ht="18" hidden="true" outlineLevel="3">
      <c r="A7439" s="2" t="s">
        <v>14050</v>
      </c>
      <c r="B7439" s="3" t="s">
        <v>14051</v>
      </c>
      <c r="C7439" s="2"/>
      <c r="D7439" s="2" t="s">
        <v>16</v>
      </c>
      <c r="E7439" s="4">
        <f>1.76*(1-Z1%)</f>
        <v>1.76</v>
      </c>
      <c r="F7439" s="2">
        <v>90</v>
      </c>
      <c r="G7439" s="2"/>
    </row>
    <row r="7440" spans="1:26" customHeight="1" ht="18" hidden="true" outlineLevel="3">
      <c r="A7440" s="2" t="s">
        <v>14052</v>
      </c>
      <c r="B7440" s="3" t="s">
        <v>14053</v>
      </c>
      <c r="C7440" s="2"/>
      <c r="D7440" s="2" t="s">
        <v>16</v>
      </c>
      <c r="E7440" s="4">
        <f>1.92*(1-Z1%)</f>
        <v>1.92</v>
      </c>
      <c r="F7440" s="2">
        <v>90</v>
      </c>
      <c r="G7440" s="2"/>
    </row>
    <row r="7441" spans="1:26" customHeight="1" ht="36" hidden="true" outlineLevel="3">
      <c r="A7441" s="2" t="s">
        <v>14054</v>
      </c>
      <c r="B7441" s="3" t="s">
        <v>14055</v>
      </c>
      <c r="C7441" s="2"/>
      <c r="D7441" s="2" t="s">
        <v>16</v>
      </c>
      <c r="E7441" s="4">
        <f>1.53*(1-Z1%)</f>
        <v>1.53</v>
      </c>
      <c r="F7441" s="2">
        <v>90</v>
      </c>
      <c r="G7441" s="2"/>
    </row>
    <row r="7442" spans="1:26" customHeight="1" ht="36" hidden="true" outlineLevel="3">
      <c r="A7442" s="2" t="s">
        <v>14056</v>
      </c>
      <c r="B7442" s="3" t="s">
        <v>14057</v>
      </c>
      <c r="C7442" s="2"/>
      <c r="D7442" s="2" t="s">
        <v>16</v>
      </c>
      <c r="E7442" s="4">
        <f>1.54*(1-Z1%)</f>
        <v>1.54</v>
      </c>
      <c r="F7442" s="2">
        <v>90</v>
      </c>
      <c r="G7442" s="2"/>
    </row>
    <row r="7443" spans="1:26" customHeight="1" ht="36" hidden="true" outlineLevel="3">
      <c r="A7443" s="2" t="s">
        <v>14058</v>
      </c>
      <c r="B7443" s="3" t="s">
        <v>14059</v>
      </c>
      <c r="C7443" s="2"/>
      <c r="D7443" s="2" t="s">
        <v>16</v>
      </c>
      <c r="E7443" s="4">
        <f>1.61*(1-Z1%)</f>
        <v>1.61</v>
      </c>
      <c r="F7443" s="2">
        <v>90</v>
      </c>
      <c r="G7443" s="2"/>
    </row>
    <row r="7444" spans="1:26" customHeight="1" ht="18" hidden="true" outlineLevel="3">
      <c r="A7444" s="2" t="s">
        <v>14060</v>
      </c>
      <c r="B7444" s="3" t="s">
        <v>14061</v>
      </c>
      <c r="C7444" s="2"/>
      <c r="D7444" s="2" t="s">
        <v>16</v>
      </c>
      <c r="E7444" s="4">
        <f>1.64*(1-Z1%)</f>
        <v>1.64</v>
      </c>
      <c r="F7444" s="2">
        <v>90</v>
      </c>
      <c r="G7444" s="2"/>
    </row>
    <row r="7445" spans="1:26" customHeight="1" ht="18" hidden="true" outlineLevel="3">
      <c r="A7445" s="2" t="s">
        <v>14062</v>
      </c>
      <c r="B7445" s="3" t="s">
        <v>14063</v>
      </c>
      <c r="C7445" s="2"/>
      <c r="D7445" s="2" t="s">
        <v>16</v>
      </c>
      <c r="E7445" s="4">
        <f>2.18*(1-Z1%)</f>
        <v>2.18</v>
      </c>
      <c r="F7445" s="2">
        <v>90</v>
      </c>
      <c r="G7445" s="2"/>
    </row>
    <row r="7446" spans="1:26" customHeight="1" ht="35" hidden="true" outlineLevel="3">
      <c r="A7446" s="5" t="s">
        <v>14064</v>
      </c>
      <c r="B7446" s="5"/>
      <c r="C7446" s="5"/>
      <c r="D7446" s="5"/>
      <c r="E7446" s="5"/>
      <c r="F7446" s="5"/>
      <c r="G7446" s="5"/>
    </row>
    <row r="7447" spans="1:26" customHeight="1" ht="18" hidden="true" outlineLevel="3">
      <c r="A7447" s="2" t="s">
        <v>14065</v>
      </c>
      <c r="B7447" s="3" t="s">
        <v>14066</v>
      </c>
      <c r="C7447" s="2"/>
      <c r="D7447" s="2" t="s">
        <v>16</v>
      </c>
      <c r="E7447" s="4">
        <f>2.12*(1-Z1%)</f>
        <v>2.12</v>
      </c>
      <c r="F7447" s="2">
        <v>100</v>
      </c>
      <c r="G7447" s="2"/>
    </row>
    <row r="7448" spans="1:26" customHeight="1" ht="18" hidden="true" outlineLevel="3">
      <c r="A7448" s="2" t="s">
        <v>14067</v>
      </c>
      <c r="B7448" s="3" t="s">
        <v>14068</v>
      </c>
      <c r="C7448" s="2"/>
      <c r="D7448" s="2" t="s">
        <v>16</v>
      </c>
      <c r="E7448" s="4">
        <f>2.02*(1-Z1%)</f>
        <v>2.02</v>
      </c>
      <c r="F7448" s="2">
        <v>100</v>
      </c>
      <c r="G7448" s="2"/>
    </row>
    <row r="7449" spans="1:26" customHeight="1" ht="35" hidden="true" outlineLevel="3">
      <c r="A7449" s="5" t="s">
        <v>14069</v>
      </c>
      <c r="B7449" s="5"/>
      <c r="C7449" s="5"/>
      <c r="D7449" s="5"/>
      <c r="E7449" s="5"/>
      <c r="F7449" s="5"/>
      <c r="G7449" s="5"/>
    </row>
    <row r="7450" spans="1:26" customHeight="1" ht="18" hidden="true" outlineLevel="3">
      <c r="A7450" s="2" t="s">
        <v>14070</v>
      </c>
      <c r="B7450" s="3" t="s">
        <v>14071</v>
      </c>
      <c r="C7450" s="2"/>
      <c r="D7450" s="2" t="s">
        <v>16</v>
      </c>
      <c r="E7450" s="4">
        <f>30.66*(1-Z1%)</f>
        <v>30.66</v>
      </c>
      <c r="F7450" s="2">
        <v>10</v>
      </c>
      <c r="G7450" s="2"/>
    </row>
    <row r="7451" spans="1:26" customHeight="1" ht="35" hidden="true" outlineLevel="3">
      <c r="A7451" s="5" t="s">
        <v>14072</v>
      </c>
      <c r="B7451" s="5"/>
      <c r="C7451" s="5"/>
      <c r="D7451" s="5"/>
      <c r="E7451" s="5"/>
      <c r="F7451" s="5"/>
      <c r="G7451" s="5"/>
    </row>
    <row r="7452" spans="1:26" customHeight="1" ht="35" hidden="true" outlineLevel="4">
      <c r="A7452" s="5" t="s">
        <v>14073</v>
      </c>
      <c r="B7452" s="5"/>
      <c r="C7452" s="5"/>
      <c r="D7452" s="5"/>
      <c r="E7452" s="5"/>
      <c r="F7452" s="5"/>
      <c r="G7452" s="5"/>
    </row>
    <row r="7453" spans="1:26" customHeight="1" ht="36" hidden="true" outlineLevel="4">
      <c r="A7453" s="2" t="s">
        <v>14074</v>
      </c>
      <c r="B7453" s="3" t="s">
        <v>14075</v>
      </c>
      <c r="C7453" s="2"/>
      <c r="D7453" s="2" t="s">
        <v>16</v>
      </c>
      <c r="E7453" s="4">
        <f>10.71*(1-Z1%)</f>
        <v>10.71</v>
      </c>
      <c r="F7453" s="2">
        <v>165</v>
      </c>
      <c r="G7453" s="2"/>
    </row>
    <row r="7454" spans="1:26" customHeight="1" ht="36" hidden="true" outlineLevel="4">
      <c r="A7454" s="2" t="s">
        <v>14076</v>
      </c>
      <c r="B7454" s="3" t="s">
        <v>14077</v>
      </c>
      <c r="C7454" s="2"/>
      <c r="D7454" s="2" t="s">
        <v>16</v>
      </c>
      <c r="E7454" s="4">
        <f>9.40*(1-Z1%)</f>
        <v>9.4</v>
      </c>
      <c r="F7454" s="2">
        <v>200</v>
      </c>
      <c r="G7454" s="2"/>
    </row>
    <row r="7455" spans="1:26" customHeight="1" ht="36" hidden="true" outlineLevel="4">
      <c r="A7455" s="2" t="s">
        <v>14078</v>
      </c>
      <c r="B7455" s="3" t="s">
        <v>14079</v>
      </c>
      <c r="C7455" s="2"/>
      <c r="D7455" s="2" t="s">
        <v>16</v>
      </c>
      <c r="E7455" s="4">
        <f>132.48*(1-Z1%)</f>
        <v>132.48</v>
      </c>
      <c r="F7455" s="2">
        <v>50</v>
      </c>
      <c r="G7455" s="2"/>
    </row>
    <row r="7456" spans="1:26" customHeight="1" ht="36" hidden="true" outlineLevel="4">
      <c r="A7456" s="2" t="s">
        <v>14080</v>
      </c>
      <c r="B7456" s="3" t="s">
        <v>14081</v>
      </c>
      <c r="C7456" s="2"/>
      <c r="D7456" s="2" t="s">
        <v>16</v>
      </c>
      <c r="E7456" s="4">
        <f>66.24*(1-Z1%)</f>
        <v>66.24</v>
      </c>
      <c r="F7456" s="2">
        <v>50</v>
      </c>
      <c r="G7456" s="2"/>
    </row>
    <row r="7457" spans="1:26" customHeight="1" ht="36" hidden="true" outlineLevel="4">
      <c r="A7457" s="2" t="s">
        <v>14082</v>
      </c>
      <c r="B7457" s="3" t="s">
        <v>14083</v>
      </c>
      <c r="C7457" s="2"/>
      <c r="D7457" s="2" t="s">
        <v>16</v>
      </c>
      <c r="E7457" s="4">
        <f>13.95*(1-Z1%)</f>
        <v>13.95</v>
      </c>
      <c r="F7457" s="2">
        <v>200</v>
      </c>
      <c r="G7457" s="2"/>
    </row>
    <row r="7458" spans="1:26" customHeight="1" ht="36" hidden="true" outlineLevel="4">
      <c r="A7458" s="2" t="s">
        <v>14084</v>
      </c>
      <c r="B7458" s="3" t="s">
        <v>14085</v>
      </c>
      <c r="C7458" s="2"/>
      <c r="D7458" s="2" t="s">
        <v>16</v>
      </c>
      <c r="E7458" s="4">
        <f>101.43*(1-Z1%)</f>
        <v>101.43</v>
      </c>
      <c r="F7458" s="2">
        <v>144</v>
      </c>
      <c r="G7458" s="2"/>
    </row>
    <row r="7459" spans="1:26" customHeight="1" ht="36" hidden="true" outlineLevel="4">
      <c r="A7459" s="2" t="s">
        <v>14086</v>
      </c>
      <c r="B7459" s="3" t="s">
        <v>14087</v>
      </c>
      <c r="C7459" s="2"/>
      <c r="D7459" s="2" t="s">
        <v>16</v>
      </c>
      <c r="E7459" s="4">
        <f>10.03*(1-Z1%)</f>
        <v>10.03</v>
      </c>
      <c r="F7459" s="2">
        <v>245</v>
      </c>
      <c r="G7459" s="2"/>
    </row>
    <row r="7460" spans="1:26" customHeight="1" ht="36" hidden="true" outlineLevel="4">
      <c r="A7460" s="2" t="s">
        <v>14088</v>
      </c>
      <c r="B7460" s="3" t="s">
        <v>14089</v>
      </c>
      <c r="C7460" s="2"/>
      <c r="D7460" s="2" t="s">
        <v>16</v>
      </c>
      <c r="E7460" s="4">
        <f>14.22*(1-Z1%)</f>
        <v>14.22</v>
      </c>
      <c r="F7460" s="2">
        <v>200</v>
      </c>
      <c r="G7460" s="2"/>
    </row>
    <row r="7461" spans="1:26" customHeight="1" ht="35" hidden="true" outlineLevel="4">
      <c r="A7461" s="5" t="s">
        <v>14090</v>
      </c>
      <c r="B7461" s="5"/>
      <c r="C7461" s="5"/>
      <c r="D7461" s="5"/>
      <c r="E7461" s="5"/>
      <c r="F7461" s="5"/>
      <c r="G7461" s="5"/>
    </row>
    <row r="7462" spans="1:26" customHeight="1" ht="36" hidden="true" outlineLevel="4">
      <c r="A7462" s="2" t="s">
        <v>14091</v>
      </c>
      <c r="B7462" s="3" t="s">
        <v>14092</v>
      </c>
      <c r="C7462" s="2"/>
      <c r="D7462" s="2" t="s">
        <v>16</v>
      </c>
      <c r="E7462" s="4">
        <f>16.07*(1-Z1%)</f>
        <v>16.07</v>
      </c>
      <c r="F7462" s="2">
        <v>150</v>
      </c>
      <c r="G7462" s="2"/>
    </row>
    <row r="7463" spans="1:26" customHeight="1" ht="36" hidden="true" outlineLevel="4">
      <c r="A7463" s="2" t="s">
        <v>14093</v>
      </c>
      <c r="B7463" s="3" t="s">
        <v>14094</v>
      </c>
      <c r="C7463" s="2"/>
      <c r="D7463" s="2" t="s">
        <v>16</v>
      </c>
      <c r="E7463" s="4">
        <f>30.72*(1-Z1%)</f>
        <v>30.72</v>
      </c>
      <c r="F7463" s="2">
        <v>130</v>
      </c>
      <c r="G7463" s="2"/>
    </row>
    <row r="7464" spans="1:26" customHeight="1" ht="36" hidden="true" outlineLevel="4">
      <c r="A7464" s="2" t="s">
        <v>14095</v>
      </c>
      <c r="B7464" s="3" t="s">
        <v>14096</v>
      </c>
      <c r="C7464" s="2"/>
      <c r="D7464" s="2" t="s">
        <v>16</v>
      </c>
      <c r="E7464" s="4">
        <f>52.52*(1-Z1%)</f>
        <v>52.52</v>
      </c>
      <c r="F7464" s="2">
        <v>30</v>
      </c>
      <c r="G7464" s="2"/>
    </row>
    <row r="7465" spans="1:26" customHeight="1" ht="36" hidden="true" outlineLevel="4">
      <c r="A7465" s="2" t="s">
        <v>14097</v>
      </c>
      <c r="B7465" s="3" t="s">
        <v>14098</v>
      </c>
      <c r="C7465" s="2"/>
      <c r="D7465" s="2" t="s">
        <v>16</v>
      </c>
      <c r="E7465" s="4">
        <f>18.35*(1-Z1%)</f>
        <v>18.35</v>
      </c>
      <c r="F7465" s="2">
        <v>5</v>
      </c>
      <c r="G7465" s="2"/>
    </row>
    <row r="7466" spans="1:26" customHeight="1" ht="36" hidden="true" outlineLevel="4">
      <c r="A7466" s="2" t="s">
        <v>14099</v>
      </c>
      <c r="B7466" s="3" t="s">
        <v>14100</v>
      </c>
      <c r="C7466" s="2"/>
      <c r="D7466" s="2" t="s">
        <v>16</v>
      </c>
      <c r="E7466" s="4">
        <f>50.65*(1-Z1%)</f>
        <v>50.65</v>
      </c>
      <c r="F7466" s="2">
        <v>15</v>
      </c>
      <c r="G7466" s="2"/>
    </row>
    <row r="7467" spans="1:26" customHeight="1" ht="35" hidden="true" outlineLevel="4">
      <c r="A7467" s="5" t="s">
        <v>14101</v>
      </c>
      <c r="B7467" s="5"/>
      <c r="C7467" s="5"/>
      <c r="D7467" s="5"/>
      <c r="E7467" s="5"/>
      <c r="F7467" s="5"/>
      <c r="G7467" s="5"/>
    </row>
    <row r="7468" spans="1:26" customHeight="1" ht="36" hidden="true" outlineLevel="4">
      <c r="A7468" s="2" t="s">
        <v>14102</v>
      </c>
      <c r="B7468" s="3" t="s">
        <v>14103</v>
      </c>
      <c r="C7468" s="2"/>
      <c r="D7468" s="2" t="s">
        <v>16</v>
      </c>
      <c r="E7468" s="4">
        <f>7.03*(1-Z1%)</f>
        <v>7.03</v>
      </c>
      <c r="F7468" s="2">
        <v>100</v>
      </c>
      <c r="G7468" s="2"/>
    </row>
    <row r="7469" spans="1:26" customHeight="1" ht="35" hidden="true" outlineLevel="3">
      <c r="A7469" s="5" t="s">
        <v>14104</v>
      </c>
      <c r="B7469" s="5"/>
      <c r="C7469" s="5"/>
      <c r="D7469" s="5"/>
      <c r="E7469" s="5"/>
      <c r="F7469" s="5"/>
      <c r="G7469" s="5"/>
    </row>
    <row r="7470" spans="1:26" customHeight="1" ht="36" hidden="true" outlineLevel="3">
      <c r="A7470" s="2" t="s">
        <v>14105</v>
      </c>
      <c r="B7470" s="3" t="s">
        <v>14106</v>
      </c>
      <c r="C7470" s="2"/>
      <c r="D7470" s="2" t="s">
        <v>16</v>
      </c>
      <c r="E7470" s="4">
        <f>4.01*(1-Z1%)</f>
        <v>4.01</v>
      </c>
      <c r="F7470" s="2">
        <v>30</v>
      </c>
      <c r="G7470" s="2"/>
    </row>
    <row r="7471" spans="1:26" customHeight="1" ht="35" hidden="true" outlineLevel="3">
      <c r="A7471" s="5" t="s">
        <v>14107</v>
      </c>
      <c r="B7471" s="5"/>
      <c r="C7471" s="5"/>
      <c r="D7471" s="5"/>
      <c r="E7471" s="5"/>
      <c r="F7471" s="5"/>
      <c r="G7471" s="5"/>
    </row>
    <row r="7472" spans="1:26" customHeight="1" ht="36" hidden="true" outlineLevel="3">
      <c r="A7472" s="2" t="s">
        <v>14108</v>
      </c>
      <c r="B7472" s="3" t="s">
        <v>14109</v>
      </c>
      <c r="C7472" s="2"/>
      <c r="D7472" s="2" t="s">
        <v>16</v>
      </c>
      <c r="E7472" s="4">
        <f>2.77*(1-Z1%)</f>
        <v>2.77</v>
      </c>
      <c r="F7472" s="2">
        <v>200</v>
      </c>
      <c r="G7472" s="2"/>
    </row>
    <row r="7473" spans="1:26" customHeight="1" ht="35" hidden="true" outlineLevel="3">
      <c r="A7473" s="5" t="s">
        <v>14110</v>
      </c>
      <c r="B7473" s="5"/>
      <c r="C7473" s="5"/>
      <c r="D7473" s="5"/>
      <c r="E7473" s="5"/>
      <c r="F7473" s="5"/>
      <c r="G7473" s="5"/>
    </row>
    <row r="7474" spans="1:26" customHeight="1" ht="18" hidden="true" outlineLevel="3">
      <c r="A7474" s="2" t="s">
        <v>14111</v>
      </c>
      <c r="B7474" s="3" t="s">
        <v>14112</v>
      </c>
      <c r="C7474" s="2"/>
      <c r="D7474" s="2" t="s">
        <v>16</v>
      </c>
      <c r="E7474" s="4">
        <f>0.86*(1-Z1%)</f>
        <v>0.86</v>
      </c>
      <c r="F7474" s="2">
        <v>100</v>
      </c>
      <c r="G7474" s="2"/>
    </row>
    <row r="7475" spans="1:26" customHeight="1" ht="18" hidden="true" outlineLevel="3">
      <c r="A7475" s="2" t="s">
        <v>14113</v>
      </c>
      <c r="B7475" s="3" t="s">
        <v>14114</v>
      </c>
      <c r="C7475" s="2"/>
      <c r="D7475" s="2" t="s">
        <v>16</v>
      </c>
      <c r="E7475" s="4">
        <f>1.15*(1-Z1%)</f>
        <v>1.15</v>
      </c>
      <c r="F7475" s="2">
        <v>200</v>
      </c>
      <c r="G7475" s="2"/>
    </row>
    <row r="7476" spans="1:26" customHeight="1" ht="18" hidden="true" outlineLevel="3">
      <c r="A7476" s="2" t="s">
        <v>14115</v>
      </c>
      <c r="B7476" s="3" t="s">
        <v>14116</v>
      </c>
      <c r="C7476" s="2"/>
      <c r="D7476" s="2" t="s">
        <v>16</v>
      </c>
      <c r="E7476" s="4">
        <f>1.15*(1-Z1%)</f>
        <v>1.15</v>
      </c>
      <c r="F7476" s="2">
        <v>600</v>
      </c>
      <c r="G7476" s="2"/>
    </row>
    <row r="7477" spans="1:26" customHeight="1" ht="35" hidden="true" outlineLevel="2">
      <c r="A7477" s="5" t="s">
        <v>14117</v>
      </c>
      <c r="B7477" s="5"/>
      <c r="C7477" s="5"/>
      <c r="D7477" s="5"/>
      <c r="E7477" s="5"/>
      <c r="F7477" s="5"/>
      <c r="G7477" s="5"/>
    </row>
    <row r="7478" spans="1:26" customHeight="1" ht="35" hidden="true" outlineLevel="3">
      <c r="A7478" s="5" t="s">
        <v>14118</v>
      </c>
      <c r="B7478" s="5"/>
      <c r="C7478" s="5"/>
      <c r="D7478" s="5"/>
      <c r="E7478" s="5"/>
      <c r="F7478" s="5"/>
      <c r="G7478" s="5"/>
    </row>
    <row r="7479" spans="1:26" customHeight="1" ht="36" hidden="true" outlineLevel="3">
      <c r="A7479" s="2" t="s">
        <v>14119</v>
      </c>
      <c r="B7479" s="3" t="s">
        <v>14120</v>
      </c>
      <c r="C7479" s="2"/>
      <c r="D7479" s="2" t="s">
        <v>16</v>
      </c>
      <c r="E7479" s="4">
        <f>63.70*(1-Z1%)</f>
        <v>63.7</v>
      </c>
      <c r="F7479" s="2">
        <v>8</v>
      </c>
      <c r="G7479" s="2"/>
    </row>
    <row r="7480" spans="1:26" customHeight="1" ht="36" hidden="true" outlineLevel="3">
      <c r="A7480" s="2" t="s">
        <v>14121</v>
      </c>
      <c r="B7480" s="3" t="s">
        <v>14122</v>
      </c>
      <c r="C7480" s="2"/>
      <c r="D7480" s="2" t="s">
        <v>16</v>
      </c>
      <c r="E7480" s="4">
        <f>36.06*(1-Z1%)</f>
        <v>36.06</v>
      </c>
      <c r="F7480" s="2">
        <v>10</v>
      </c>
      <c r="G7480" s="2"/>
    </row>
    <row r="7481" spans="1:26" customHeight="1" ht="36" hidden="true" outlineLevel="3">
      <c r="A7481" s="2" t="s">
        <v>14123</v>
      </c>
      <c r="B7481" s="3" t="s">
        <v>14124</v>
      </c>
      <c r="C7481" s="2"/>
      <c r="D7481" s="2" t="s">
        <v>16</v>
      </c>
      <c r="E7481" s="4">
        <f>43.23*(1-Z1%)</f>
        <v>43.23</v>
      </c>
      <c r="F7481" s="2">
        <v>10</v>
      </c>
      <c r="G7481" s="2"/>
    </row>
    <row r="7482" spans="1:26" customHeight="1" ht="35" hidden="true" outlineLevel="3">
      <c r="A7482" s="5" t="s">
        <v>14125</v>
      </c>
      <c r="B7482" s="5"/>
      <c r="C7482" s="5"/>
      <c r="D7482" s="5"/>
      <c r="E7482" s="5"/>
      <c r="F7482" s="5"/>
      <c r="G7482" s="5"/>
    </row>
    <row r="7483" spans="1:26" customHeight="1" ht="36" hidden="true" outlineLevel="3">
      <c r="A7483" s="2" t="s">
        <v>14126</v>
      </c>
      <c r="B7483" s="3" t="s">
        <v>14127</v>
      </c>
      <c r="C7483" s="2"/>
      <c r="D7483" s="2" t="s">
        <v>16</v>
      </c>
      <c r="E7483" s="4">
        <f>29.99*(1-Z1%)</f>
        <v>29.99</v>
      </c>
      <c r="F7483" s="2">
        <v>9</v>
      </c>
      <c r="G7483" s="2"/>
    </row>
    <row r="7484" spans="1:26" customHeight="1" ht="36" hidden="true" outlineLevel="3">
      <c r="A7484" s="2" t="s">
        <v>14128</v>
      </c>
      <c r="B7484" s="3" t="s">
        <v>14129</v>
      </c>
      <c r="C7484" s="2"/>
      <c r="D7484" s="2" t="s">
        <v>16</v>
      </c>
      <c r="E7484" s="4">
        <f>52.71*(1-Z1%)</f>
        <v>52.71</v>
      </c>
      <c r="F7484" s="2">
        <v>10</v>
      </c>
      <c r="G7484" s="2"/>
    </row>
    <row r="7485" spans="1:26" customHeight="1" ht="36" hidden="true" outlineLevel="3">
      <c r="A7485" s="2" t="s">
        <v>14130</v>
      </c>
      <c r="B7485" s="3" t="s">
        <v>14131</v>
      </c>
      <c r="C7485" s="2"/>
      <c r="D7485" s="2" t="s">
        <v>16</v>
      </c>
      <c r="E7485" s="4">
        <f>55.69*(1-Z1%)</f>
        <v>55.69</v>
      </c>
      <c r="F7485" s="2">
        <v>25</v>
      </c>
      <c r="G7485" s="2"/>
    </row>
    <row r="7486" spans="1:26" customHeight="1" ht="36" hidden="true" outlineLevel="3">
      <c r="A7486" s="2" t="s">
        <v>14132</v>
      </c>
      <c r="B7486" s="3" t="s">
        <v>14133</v>
      </c>
      <c r="C7486" s="2"/>
      <c r="D7486" s="2" t="s">
        <v>16</v>
      </c>
      <c r="E7486" s="4">
        <f>92.40*(1-Z1%)</f>
        <v>92.4</v>
      </c>
      <c r="F7486" s="2">
        <v>10</v>
      </c>
      <c r="G7486" s="2"/>
    </row>
    <row r="7487" spans="1:26" customHeight="1" ht="36" hidden="true" outlineLevel="3">
      <c r="A7487" s="2" t="s">
        <v>14134</v>
      </c>
      <c r="B7487" s="3" t="s">
        <v>14135</v>
      </c>
      <c r="C7487" s="2"/>
      <c r="D7487" s="2" t="s">
        <v>16</v>
      </c>
      <c r="E7487" s="4">
        <f>94.08*(1-Z1%)</f>
        <v>94.08</v>
      </c>
      <c r="F7487" s="2">
        <v>5</v>
      </c>
      <c r="G7487" s="2"/>
    </row>
    <row r="7488" spans="1:26" customHeight="1" ht="36" hidden="true" outlineLevel="3">
      <c r="A7488" s="2" t="s">
        <v>14136</v>
      </c>
      <c r="B7488" s="3" t="s">
        <v>14137</v>
      </c>
      <c r="C7488" s="2"/>
      <c r="D7488" s="2" t="s">
        <v>16</v>
      </c>
      <c r="E7488" s="4">
        <f>42.19*(1-Z1%)</f>
        <v>42.19</v>
      </c>
      <c r="F7488" s="2">
        <v>10</v>
      </c>
      <c r="G7488" s="2"/>
    </row>
    <row r="7489" spans="1:26" customHeight="1" ht="35" hidden="true" outlineLevel="3">
      <c r="A7489" s="5" t="s">
        <v>14138</v>
      </c>
      <c r="B7489" s="5"/>
      <c r="C7489" s="5"/>
      <c r="D7489" s="5"/>
      <c r="E7489" s="5"/>
      <c r="F7489" s="5"/>
      <c r="G7489" s="5"/>
    </row>
    <row r="7490" spans="1:26" customHeight="1" ht="36" hidden="true" outlineLevel="3">
      <c r="A7490" s="2" t="s">
        <v>14139</v>
      </c>
      <c r="B7490" s="3" t="s">
        <v>14140</v>
      </c>
      <c r="C7490" s="2"/>
      <c r="D7490" s="2" t="s">
        <v>16</v>
      </c>
      <c r="E7490" s="4">
        <f>61.52*(1-Z1%)</f>
        <v>61.52</v>
      </c>
      <c r="F7490" s="2">
        <v>15</v>
      </c>
      <c r="G7490" s="2"/>
    </row>
    <row r="7491" spans="1:26" customHeight="1" ht="35" hidden="true" outlineLevel="3">
      <c r="A7491" s="5" t="s">
        <v>14141</v>
      </c>
      <c r="B7491" s="5"/>
      <c r="C7491" s="5"/>
      <c r="D7491" s="5"/>
      <c r="E7491" s="5"/>
      <c r="F7491" s="5"/>
      <c r="G7491" s="5"/>
    </row>
    <row r="7492" spans="1:26" customHeight="1" ht="36" hidden="true" outlineLevel="3">
      <c r="A7492" s="2" t="s">
        <v>14142</v>
      </c>
      <c r="B7492" s="3" t="s">
        <v>14143</v>
      </c>
      <c r="C7492" s="2"/>
      <c r="D7492" s="2" t="s">
        <v>16</v>
      </c>
      <c r="E7492" s="4">
        <f>36.44*(1-Z1%)</f>
        <v>36.44</v>
      </c>
      <c r="F7492" s="2">
        <v>3</v>
      </c>
      <c r="G7492" s="2"/>
    </row>
    <row r="7493" spans="1:26" customHeight="1" ht="36" hidden="true" outlineLevel="3">
      <c r="A7493" s="2" t="s">
        <v>14144</v>
      </c>
      <c r="B7493" s="3" t="s">
        <v>14145</v>
      </c>
      <c r="C7493" s="2"/>
      <c r="D7493" s="2" t="s">
        <v>16</v>
      </c>
      <c r="E7493" s="4">
        <f>18.93*(1-Z1%)</f>
        <v>18.93</v>
      </c>
      <c r="F7493" s="2">
        <v>3</v>
      </c>
      <c r="G7493" s="2"/>
    </row>
    <row r="7494" spans="1:26" customHeight="1" ht="36" hidden="true" outlineLevel="3">
      <c r="A7494" s="2" t="s">
        <v>14146</v>
      </c>
      <c r="B7494" s="3" t="s">
        <v>14147</v>
      </c>
      <c r="C7494" s="2"/>
      <c r="D7494" s="2" t="s">
        <v>16</v>
      </c>
      <c r="E7494" s="4">
        <f>23.62*(1-Z1%)</f>
        <v>23.62</v>
      </c>
      <c r="F7494" s="2">
        <v>30</v>
      </c>
      <c r="G7494" s="2"/>
    </row>
    <row r="7495" spans="1:26" customHeight="1" ht="36" hidden="true" outlineLevel="3">
      <c r="A7495" s="2" t="s">
        <v>14148</v>
      </c>
      <c r="B7495" s="3" t="s">
        <v>14149</v>
      </c>
      <c r="C7495" s="2"/>
      <c r="D7495" s="2" t="s">
        <v>16</v>
      </c>
      <c r="E7495" s="4">
        <f>28.20*(1-Z1%)</f>
        <v>28.2</v>
      </c>
      <c r="F7495" s="2">
        <v>17</v>
      </c>
      <c r="G7495" s="2"/>
    </row>
    <row r="7496" spans="1:26" customHeight="1" ht="36" hidden="true" outlineLevel="3">
      <c r="A7496" s="2" t="s">
        <v>14150</v>
      </c>
      <c r="B7496" s="3" t="s">
        <v>14151</v>
      </c>
      <c r="C7496" s="2"/>
      <c r="D7496" s="2" t="s">
        <v>16</v>
      </c>
      <c r="E7496" s="4">
        <f>29.68*(1-Z1%)</f>
        <v>29.68</v>
      </c>
      <c r="F7496" s="2">
        <v>23</v>
      </c>
      <c r="G7496" s="2"/>
    </row>
    <row r="7497" spans="1:26" customHeight="1" ht="36" hidden="true" outlineLevel="3">
      <c r="A7497" s="2" t="s">
        <v>14152</v>
      </c>
      <c r="B7497" s="3" t="s">
        <v>14153</v>
      </c>
      <c r="C7497" s="2"/>
      <c r="D7497" s="2" t="s">
        <v>16</v>
      </c>
      <c r="E7497" s="4">
        <f>30.43*(1-Z1%)</f>
        <v>30.43</v>
      </c>
      <c r="F7497" s="2">
        <v>24</v>
      </c>
      <c r="G7497" s="2"/>
    </row>
    <row r="7498" spans="1:26" customHeight="1" ht="35" hidden="true" outlineLevel="3">
      <c r="A7498" s="5" t="s">
        <v>14154</v>
      </c>
      <c r="B7498" s="5"/>
      <c r="C7498" s="5"/>
      <c r="D7498" s="5"/>
      <c r="E7498" s="5"/>
      <c r="F7498" s="5"/>
      <c r="G7498" s="5"/>
    </row>
    <row r="7499" spans="1:26" customHeight="1" ht="36" hidden="true" outlineLevel="3">
      <c r="A7499" s="2" t="s">
        <v>14155</v>
      </c>
      <c r="B7499" s="3" t="s">
        <v>14156</v>
      </c>
      <c r="C7499" s="2"/>
      <c r="D7499" s="2" t="s">
        <v>16</v>
      </c>
      <c r="E7499" s="4">
        <f>50.11*(1-Z1%)</f>
        <v>50.11</v>
      </c>
      <c r="F7499" s="2">
        <v>3</v>
      </c>
      <c r="G7499" s="2"/>
    </row>
    <row r="7500" spans="1:26" customHeight="1" ht="36" hidden="true" outlineLevel="3">
      <c r="A7500" s="2" t="s">
        <v>14157</v>
      </c>
      <c r="B7500" s="3" t="s">
        <v>14158</v>
      </c>
      <c r="C7500" s="2"/>
      <c r="D7500" s="2" t="s">
        <v>16</v>
      </c>
      <c r="E7500" s="4">
        <f>58.82*(1-Z1%)</f>
        <v>58.82</v>
      </c>
      <c r="F7500" s="2">
        <v>3</v>
      </c>
      <c r="G7500" s="2"/>
    </row>
    <row r="7501" spans="1:26" customHeight="1" ht="36" hidden="true" outlineLevel="3">
      <c r="A7501" s="2" t="s">
        <v>14159</v>
      </c>
      <c r="B7501" s="3" t="s">
        <v>14160</v>
      </c>
      <c r="C7501" s="2"/>
      <c r="D7501" s="2" t="s">
        <v>16</v>
      </c>
      <c r="E7501" s="4">
        <f>21.82*(1-Z1%)</f>
        <v>21.82</v>
      </c>
      <c r="F7501" s="2">
        <v>40</v>
      </c>
      <c r="G7501" s="2"/>
    </row>
    <row r="7502" spans="1:26" customHeight="1" ht="35" hidden="true" outlineLevel="3">
      <c r="A7502" s="5" t="s">
        <v>14161</v>
      </c>
      <c r="B7502" s="5"/>
      <c r="C7502" s="5"/>
      <c r="D7502" s="5"/>
      <c r="E7502" s="5"/>
      <c r="F7502" s="5"/>
      <c r="G7502" s="5"/>
    </row>
    <row r="7503" spans="1:26" customHeight="1" ht="36" hidden="true" outlineLevel="3">
      <c r="A7503" s="2" t="s">
        <v>14162</v>
      </c>
      <c r="B7503" s="3" t="s">
        <v>14163</v>
      </c>
      <c r="C7503" s="2"/>
      <c r="D7503" s="2" t="s">
        <v>16</v>
      </c>
      <c r="E7503" s="4">
        <f>16.16*(1-Z1%)</f>
        <v>16.16</v>
      </c>
      <c r="F7503" s="2">
        <v>33</v>
      </c>
      <c r="G7503" s="2"/>
    </row>
    <row r="7504" spans="1:26" customHeight="1" ht="36" hidden="true" outlineLevel="3">
      <c r="A7504" s="2" t="s">
        <v>14164</v>
      </c>
      <c r="B7504" s="3" t="s">
        <v>14165</v>
      </c>
      <c r="C7504" s="2"/>
      <c r="D7504" s="2" t="s">
        <v>16</v>
      </c>
      <c r="E7504" s="4">
        <f>21.82*(1-Z1%)</f>
        <v>21.82</v>
      </c>
      <c r="F7504" s="2">
        <v>25</v>
      </c>
      <c r="G7504" s="2"/>
    </row>
    <row r="7505" spans="1:26" customHeight="1" ht="36" hidden="true" outlineLevel="3">
      <c r="A7505" s="2" t="s">
        <v>14166</v>
      </c>
      <c r="B7505" s="3" t="s">
        <v>14167</v>
      </c>
      <c r="C7505" s="2"/>
      <c r="D7505" s="2" t="s">
        <v>16</v>
      </c>
      <c r="E7505" s="4">
        <f>15.46*(1-Z1%)</f>
        <v>15.46</v>
      </c>
      <c r="F7505" s="2">
        <v>39</v>
      </c>
      <c r="G7505" s="2"/>
    </row>
    <row r="7506" spans="1:26" customHeight="1" ht="35" hidden="true" outlineLevel="3">
      <c r="A7506" s="5" t="s">
        <v>14168</v>
      </c>
      <c r="B7506" s="5"/>
      <c r="C7506" s="5"/>
      <c r="D7506" s="5"/>
      <c r="E7506" s="5"/>
      <c r="F7506" s="5"/>
      <c r="G7506" s="5"/>
    </row>
    <row r="7507" spans="1:26" customHeight="1" ht="18" hidden="true" outlineLevel="3">
      <c r="A7507" s="2" t="s">
        <v>14169</v>
      </c>
      <c r="B7507" s="3" t="s">
        <v>14170</v>
      </c>
      <c r="C7507" s="2"/>
      <c r="D7507" s="2" t="s">
        <v>16</v>
      </c>
      <c r="E7507" s="4">
        <f>11.21*(1-Z1%)</f>
        <v>11.21</v>
      </c>
      <c r="F7507" s="2">
        <v>84</v>
      </c>
      <c r="G7507" s="2"/>
    </row>
    <row r="7508" spans="1:26" customHeight="1" ht="36" hidden="true" outlineLevel="3">
      <c r="A7508" s="2" t="s">
        <v>14171</v>
      </c>
      <c r="B7508" s="3" t="s">
        <v>14172</v>
      </c>
      <c r="C7508" s="2"/>
      <c r="D7508" s="2" t="s">
        <v>16</v>
      </c>
      <c r="E7508" s="4">
        <f>12.85*(1-Z1%)</f>
        <v>12.85</v>
      </c>
      <c r="F7508" s="2">
        <v>67</v>
      </c>
      <c r="G7508" s="2"/>
    </row>
    <row r="7509" spans="1:26" customHeight="1" ht="36" hidden="true" outlineLevel="3">
      <c r="A7509" s="2" t="s">
        <v>14173</v>
      </c>
      <c r="B7509" s="3" t="s">
        <v>14174</v>
      </c>
      <c r="C7509" s="2"/>
      <c r="D7509" s="2" t="s">
        <v>16</v>
      </c>
      <c r="E7509" s="4">
        <f>14.98*(1-Z1%)</f>
        <v>14.98</v>
      </c>
      <c r="F7509" s="2">
        <v>51</v>
      </c>
      <c r="G7509" s="2"/>
    </row>
    <row r="7510" spans="1:26" customHeight="1" ht="35" hidden="true" outlineLevel="2">
      <c r="A7510" s="5" t="s">
        <v>14175</v>
      </c>
      <c r="B7510" s="5"/>
      <c r="C7510" s="5"/>
      <c r="D7510" s="5"/>
      <c r="E7510" s="5"/>
      <c r="F7510" s="5"/>
      <c r="G7510" s="5"/>
    </row>
    <row r="7511" spans="1:26" customHeight="1" ht="35" hidden="true" outlineLevel="3">
      <c r="A7511" s="5" t="s">
        <v>14176</v>
      </c>
      <c r="B7511" s="5"/>
      <c r="C7511" s="5"/>
      <c r="D7511" s="5"/>
      <c r="E7511" s="5"/>
      <c r="F7511" s="5"/>
      <c r="G7511" s="5"/>
    </row>
    <row r="7512" spans="1:26" customHeight="1" ht="36" hidden="true" outlineLevel="3">
      <c r="A7512" s="2" t="s">
        <v>14177</v>
      </c>
      <c r="B7512" s="3" t="s">
        <v>14178</v>
      </c>
      <c r="C7512" s="2"/>
      <c r="D7512" s="2" t="s">
        <v>16</v>
      </c>
      <c r="E7512" s="4">
        <f>351.74*(1-Z1%)</f>
        <v>351.74</v>
      </c>
      <c r="F7512" s="2">
        <v>8</v>
      </c>
      <c r="G7512" s="2"/>
    </row>
    <row r="7513" spans="1:26" customHeight="1" ht="36" hidden="true" outlineLevel="3">
      <c r="A7513" s="2" t="s">
        <v>14179</v>
      </c>
      <c r="B7513" s="3" t="s">
        <v>14180</v>
      </c>
      <c r="C7513" s="2"/>
      <c r="D7513" s="2" t="s">
        <v>16</v>
      </c>
      <c r="E7513" s="4">
        <f>329.37*(1-Z1%)</f>
        <v>329.37</v>
      </c>
      <c r="F7513" s="2">
        <v>14</v>
      </c>
      <c r="G7513" s="2"/>
    </row>
    <row r="7514" spans="1:26" customHeight="1" ht="36" hidden="true" outlineLevel="3">
      <c r="A7514" s="2" t="s">
        <v>14181</v>
      </c>
      <c r="B7514" s="3" t="s">
        <v>14182</v>
      </c>
      <c r="C7514" s="2"/>
      <c r="D7514" s="2" t="s">
        <v>16</v>
      </c>
      <c r="E7514" s="4">
        <f>334.94*(1-Z1%)</f>
        <v>334.94</v>
      </c>
      <c r="F7514" s="2">
        <v>10</v>
      </c>
      <c r="G7514" s="2"/>
    </row>
    <row r="7515" spans="1:26" customHeight="1" ht="36" hidden="true" outlineLevel="3">
      <c r="A7515" s="2" t="s">
        <v>14183</v>
      </c>
      <c r="B7515" s="3" t="s">
        <v>14184</v>
      </c>
      <c r="C7515" s="2"/>
      <c r="D7515" s="2" t="s">
        <v>16</v>
      </c>
      <c r="E7515" s="4">
        <f>306.31*(1-Z1%)</f>
        <v>306.31</v>
      </c>
      <c r="F7515" s="2">
        <v>14</v>
      </c>
      <c r="G7515" s="2"/>
    </row>
    <row r="7516" spans="1:26" customHeight="1" ht="36" hidden="true" outlineLevel="3">
      <c r="A7516" s="2" t="s">
        <v>14185</v>
      </c>
      <c r="B7516" s="3" t="s">
        <v>14186</v>
      </c>
      <c r="C7516" s="2"/>
      <c r="D7516" s="2" t="s">
        <v>16</v>
      </c>
      <c r="E7516" s="4">
        <f>370.49*(1-Z1%)</f>
        <v>370.49</v>
      </c>
      <c r="F7516" s="2">
        <v>9</v>
      </c>
      <c r="G7516" s="2"/>
    </row>
    <row r="7517" spans="1:26" customHeight="1" ht="36" hidden="true" outlineLevel="3">
      <c r="A7517" s="2" t="s">
        <v>14187</v>
      </c>
      <c r="B7517" s="3" t="s">
        <v>14188</v>
      </c>
      <c r="C7517" s="2"/>
      <c r="D7517" s="2" t="s">
        <v>16</v>
      </c>
      <c r="E7517" s="4">
        <f>368.72*(1-Z1%)</f>
        <v>368.72</v>
      </c>
      <c r="F7517" s="2">
        <v>12</v>
      </c>
      <c r="G7517" s="2"/>
    </row>
    <row r="7518" spans="1:26" customHeight="1" ht="36" hidden="true" outlineLevel="3">
      <c r="A7518" s="2" t="s">
        <v>14189</v>
      </c>
      <c r="B7518" s="3" t="s">
        <v>14190</v>
      </c>
      <c r="C7518" s="2"/>
      <c r="D7518" s="2" t="s">
        <v>16</v>
      </c>
      <c r="E7518" s="4">
        <f>348.26*(1-Z1%)</f>
        <v>348.26</v>
      </c>
      <c r="F7518" s="2">
        <v>16</v>
      </c>
      <c r="G7518" s="2"/>
    </row>
    <row r="7519" spans="1:26" customHeight="1" ht="36" hidden="true" outlineLevel="3">
      <c r="A7519" s="2" t="s">
        <v>14191</v>
      </c>
      <c r="B7519" s="3" t="s">
        <v>14192</v>
      </c>
      <c r="C7519" s="2"/>
      <c r="D7519" s="2" t="s">
        <v>16</v>
      </c>
      <c r="E7519" s="4">
        <f>420.14*(1-Z1%)</f>
        <v>420.14</v>
      </c>
      <c r="F7519" s="2">
        <v>3</v>
      </c>
      <c r="G7519" s="2"/>
    </row>
    <row r="7520" spans="1:26" customHeight="1" ht="36" hidden="true" outlineLevel="3">
      <c r="A7520" s="2" t="s">
        <v>14193</v>
      </c>
      <c r="B7520" s="3" t="s">
        <v>14194</v>
      </c>
      <c r="C7520" s="2"/>
      <c r="D7520" s="2" t="s">
        <v>16</v>
      </c>
      <c r="E7520" s="4">
        <f>170.69*(1-Z1%)</f>
        <v>170.69</v>
      </c>
      <c r="F7520" s="2">
        <v>4</v>
      </c>
      <c r="G7520" s="2"/>
    </row>
    <row r="7521" spans="1:26" customHeight="1" ht="36" hidden="true" outlineLevel="3">
      <c r="A7521" s="2" t="s">
        <v>14195</v>
      </c>
      <c r="B7521" s="3" t="s">
        <v>14196</v>
      </c>
      <c r="C7521" s="2"/>
      <c r="D7521" s="2" t="s">
        <v>16</v>
      </c>
      <c r="E7521" s="4">
        <f>145.70*(1-Z1%)</f>
        <v>145.7</v>
      </c>
      <c r="F7521" s="2">
        <v>24</v>
      </c>
      <c r="G7521" s="2"/>
    </row>
    <row r="7522" spans="1:26" customHeight="1" ht="36" hidden="true" outlineLevel="3">
      <c r="A7522" s="2" t="s">
        <v>14197</v>
      </c>
      <c r="B7522" s="3" t="s">
        <v>14198</v>
      </c>
      <c r="C7522" s="2"/>
      <c r="D7522" s="2" t="s">
        <v>16</v>
      </c>
      <c r="E7522" s="4">
        <f>127.35*(1-Z1%)</f>
        <v>127.35</v>
      </c>
      <c r="F7522" s="2">
        <v>23</v>
      </c>
      <c r="G7522" s="2"/>
    </row>
    <row r="7523" spans="1:26" customHeight="1" ht="36" hidden="true" outlineLevel="3">
      <c r="A7523" s="2" t="s">
        <v>14199</v>
      </c>
      <c r="B7523" s="3" t="s">
        <v>14200</v>
      </c>
      <c r="C7523" s="2"/>
      <c r="D7523" s="2" t="s">
        <v>16</v>
      </c>
      <c r="E7523" s="4">
        <f>152.58*(1-Z1%)</f>
        <v>152.58</v>
      </c>
      <c r="F7523" s="2">
        <v>15</v>
      </c>
      <c r="G7523" s="2"/>
    </row>
    <row r="7524" spans="1:26" customHeight="1" ht="36" hidden="true" outlineLevel="3">
      <c r="A7524" s="2" t="s">
        <v>14201</v>
      </c>
      <c r="B7524" s="3" t="s">
        <v>14202</v>
      </c>
      <c r="C7524" s="2"/>
      <c r="D7524" s="2" t="s">
        <v>16</v>
      </c>
      <c r="E7524" s="4">
        <f>132.17*(1-Z1%)</f>
        <v>132.17</v>
      </c>
      <c r="F7524" s="2">
        <v>17</v>
      </c>
      <c r="G7524" s="2"/>
    </row>
    <row r="7525" spans="1:26" customHeight="1" ht="36" hidden="true" outlineLevel="3">
      <c r="A7525" s="2" t="s">
        <v>14203</v>
      </c>
      <c r="B7525" s="3" t="s">
        <v>14204</v>
      </c>
      <c r="C7525" s="2"/>
      <c r="D7525" s="2" t="s">
        <v>16</v>
      </c>
      <c r="E7525" s="4">
        <f>154.93*(1-Z1%)</f>
        <v>154.93</v>
      </c>
      <c r="F7525" s="2">
        <v>5</v>
      </c>
      <c r="G7525" s="2"/>
    </row>
    <row r="7526" spans="1:26" customHeight="1" ht="36" hidden="true" outlineLevel="3">
      <c r="A7526" s="2" t="s">
        <v>14205</v>
      </c>
      <c r="B7526" s="3" t="s">
        <v>14206</v>
      </c>
      <c r="C7526" s="2"/>
      <c r="D7526" s="2" t="s">
        <v>16</v>
      </c>
      <c r="E7526" s="4">
        <f>161.23*(1-Z1%)</f>
        <v>161.23</v>
      </c>
      <c r="F7526" s="2">
        <v>2</v>
      </c>
      <c r="G7526" s="2"/>
    </row>
    <row r="7527" spans="1:26" customHeight="1" ht="36" hidden="true" outlineLevel="3">
      <c r="A7527" s="2" t="s">
        <v>14207</v>
      </c>
      <c r="B7527" s="3" t="s">
        <v>14208</v>
      </c>
      <c r="C7527" s="2"/>
      <c r="D7527" s="2" t="s">
        <v>16</v>
      </c>
      <c r="E7527" s="4">
        <f>202.79*(1-Z1%)</f>
        <v>202.79</v>
      </c>
      <c r="F7527" s="2">
        <v>1</v>
      </c>
      <c r="G7527" s="2"/>
    </row>
    <row r="7528" spans="1:26" customHeight="1" ht="36" hidden="true" outlineLevel="3">
      <c r="A7528" s="2" t="s">
        <v>14209</v>
      </c>
      <c r="B7528" s="3" t="s">
        <v>14210</v>
      </c>
      <c r="C7528" s="2"/>
      <c r="D7528" s="2" t="s">
        <v>16</v>
      </c>
      <c r="E7528" s="4">
        <f>789.34*(1-Z1%)</f>
        <v>789.34</v>
      </c>
      <c r="F7528" s="2">
        <v>6</v>
      </c>
      <c r="G7528" s="2"/>
    </row>
    <row r="7529" spans="1:26" customHeight="1" ht="36" hidden="true" outlineLevel="3">
      <c r="A7529" s="2" t="s">
        <v>14211</v>
      </c>
      <c r="B7529" s="3" t="s">
        <v>14212</v>
      </c>
      <c r="C7529" s="2"/>
      <c r="D7529" s="2" t="s">
        <v>16</v>
      </c>
      <c r="E7529" s="4">
        <f>840.21*(1-Z1%)</f>
        <v>840.21</v>
      </c>
      <c r="F7529" s="2">
        <v>6</v>
      </c>
      <c r="G7529" s="2"/>
    </row>
    <row r="7530" spans="1:26" customHeight="1" ht="36" hidden="true" outlineLevel="3">
      <c r="A7530" s="2" t="s">
        <v>14213</v>
      </c>
      <c r="B7530" s="3" t="s">
        <v>14214</v>
      </c>
      <c r="C7530" s="2"/>
      <c r="D7530" s="2" t="s">
        <v>16</v>
      </c>
      <c r="E7530" s="4">
        <f>902.62*(1-Z1%)</f>
        <v>902.62</v>
      </c>
      <c r="F7530" s="2">
        <v>3</v>
      </c>
      <c r="G7530" s="2"/>
    </row>
    <row r="7531" spans="1:26" customHeight="1" ht="36" hidden="true" outlineLevel="3">
      <c r="A7531" s="2" t="s">
        <v>14215</v>
      </c>
      <c r="B7531" s="3" t="s">
        <v>14216</v>
      </c>
      <c r="C7531" s="2"/>
      <c r="D7531" s="2" t="s">
        <v>16</v>
      </c>
      <c r="E7531" s="4">
        <f>329.65*(1-Z1%)</f>
        <v>329.65</v>
      </c>
      <c r="F7531" s="2">
        <v>6</v>
      </c>
      <c r="G7531" s="2"/>
    </row>
    <row r="7532" spans="1:26" customHeight="1" ht="36" hidden="true" outlineLevel="3">
      <c r="A7532" s="2" t="s">
        <v>14217</v>
      </c>
      <c r="B7532" s="3" t="s">
        <v>14218</v>
      </c>
      <c r="C7532" s="2"/>
      <c r="D7532" s="2" t="s">
        <v>16</v>
      </c>
      <c r="E7532" s="4">
        <f>307.31*(1-Z1%)</f>
        <v>307.31</v>
      </c>
      <c r="F7532" s="2">
        <v>10</v>
      </c>
      <c r="G7532" s="2"/>
    </row>
    <row r="7533" spans="1:26" customHeight="1" ht="36" hidden="true" outlineLevel="3">
      <c r="A7533" s="2" t="s">
        <v>14219</v>
      </c>
      <c r="B7533" s="3" t="s">
        <v>14220</v>
      </c>
      <c r="C7533" s="2"/>
      <c r="D7533" s="2" t="s">
        <v>16</v>
      </c>
      <c r="E7533" s="4">
        <f>338.60*(1-Z1%)</f>
        <v>338.6</v>
      </c>
      <c r="F7533" s="2">
        <v>7</v>
      </c>
      <c r="G7533" s="2"/>
    </row>
    <row r="7534" spans="1:26" customHeight="1" ht="36" hidden="true" outlineLevel="3">
      <c r="A7534" s="2" t="s">
        <v>14221</v>
      </c>
      <c r="B7534" s="3" t="s">
        <v>14222</v>
      </c>
      <c r="C7534" s="2"/>
      <c r="D7534" s="2" t="s">
        <v>16</v>
      </c>
      <c r="E7534" s="4">
        <f>306.66*(1-Z1%)</f>
        <v>306.66</v>
      </c>
      <c r="F7534" s="2">
        <v>8</v>
      </c>
      <c r="G7534" s="2"/>
    </row>
    <row r="7535" spans="1:26" customHeight="1" ht="36" hidden="true" outlineLevel="3">
      <c r="A7535" s="2" t="s">
        <v>14223</v>
      </c>
      <c r="B7535" s="3" t="s">
        <v>14224</v>
      </c>
      <c r="C7535" s="2"/>
      <c r="D7535" s="2" t="s">
        <v>16</v>
      </c>
      <c r="E7535" s="4">
        <f>306.60*(1-Z1%)</f>
        <v>306.6</v>
      </c>
      <c r="F7535" s="2">
        <v>3</v>
      </c>
      <c r="G7535" s="2"/>
    </row>
    <row r="7536" spans="1:26" customHeight="1" ht="36" hidden="true" outlineLevel="3">
      <c r="A7536" s="2" t="s">
        <v>14225</v>
      </c>
      <c r="B7536" s="3" t="s">
        <v>14226</v>
      </c>
      <c r="C7536" s="2"/>
      <c r="D7536" s="2" t="s">
        <v>16</v>
      </c>
      <c r="E7536" s="4">
        <f>314.82*(1-Z1%)</f>
        <v>314.82</v>
      </c>
      <c r="F7536" s="2">
        <v>3</v>
      </c>
      <c r="G7536" s="2"/>
    </row>
    <row r="7537" spans="1:26" customHeight="1" ht="36" hidden="true" outlineLevel="3">
      <c r="A7537" s="2" t="s">
        <v>14227</v>
      </c>
      <c r="B7537" s="3" t="s">
        <v>14228</v>
      </c>
      <c r="C7537" s="2"/>
      <c r="D7537" s="2" t="s">
        <v>16</v>
      </c>
      <c r="E7537" s="4">
        <f>372.25*(1-Z1%)</f>
        <v>372.25</v>
      </c>
      <c r="F7537" s="2">
        <v>3</v>
      </c>
      <c r="G7537" s="2"/>
    </row>
    <row r="7538" spans="1:26" customHeight="1" ht="36" hidden="true" outlineLevel="3">
      <c r="A7538" s="2" t="s">
        <v>14229</v>
      </c>
      <c r="B7538" s="3" t="s">
        <v>14230</v>
      </c>
      <c r="C7538" s="2"/>
      <c r="D7538" s="2" t="s">
        <v>16</v>
      </c>
      <c r="E7538" s="4">
        <f>476.69*(1-Z1%)</f>
        <v>476.69</v>
      </c>
      <c r="F7538" s="2">
        <v>2</v>
      </c>
      <c r="G7538" s="2"/>
    </row>
    <row r="7539" spans="1:26" customHeight="1" ht="36" hidden="true" outlineLevel="3">
      <c r="A7539" s="2" t="s">
        <v>14231</v>
      </c>
      <c r="B7539" s="3" t="s">
        <v>14232</v>
      </c>
      <c r="C7539" s="2"/>
      <c r="D7539" s="2" t="s">
        <v>16</v>
      </c>
      <c r="E7539" s="4">
        <f>480.02*(1-Z1%)</f>
        <v>480.02</v>
      </c>
      <c r="F7539" s="2">
        <v>4</v>
      </c>
      <c r="G7539" s="2"/>
    </row>
    <row r="7540" spans="1:26" customHeight="1" ht="36" hidden="true" outlineLevel="3">
      <c r="A7540" s="2" t="s">
        <v>14233</v>
      </c>
      <c r="B7540" s="3" t="s">
        <v>14234</v>
      </c>
      <c r="C7540" s="2"/>
      <c r="D7540" s="2" t="s">
        <v>16</v>
      </c>
      <c r="E7540" s="4">
        <f>467.42*(1-Z1%)</f>
        <v>467.42</v>
      </c>
      <c r="F7540" s="2">
        <v>5</v>
      </c>
      <c r="G7540" s="2"/>
    </row>
    <row r="7541" spans="1:26" customHeight="1" ht="36" hidden="true" outlineLevel="3">
      <c r="A7541" s="2" t="s">
        <v>14235</v>
      </c>
      <c r="B7541" s="3" t="s">
        <v>14236</v>
      </c>
      <c r="C7541" s="2"/>
      <c r="D7541" s="2" t="s">
        <v>16</v>
      </c>
      <c r="E7541" s="4">
        <f>453.39*(1-Z1%)</f>
        <v>453.39</v>
      </c>
      <c r="F7541" s="2">
        <v>5</v>
      </c>
      <c r="G7541" s="2"/>
    </row>
    <row r="7542" spans="1:26" customHeight="1" ht="36" hidden="true" outlineLevel="3">
      <c r="A7542" s="2" t="s">
        <v>14237</v>
      </c>
      <c r="B7542" s="3" t="s">
        <v>14238</v>
      </c>
      <c r="C7542" s="2"/>
      <c r="D7542" s="2" t="s">
        <v>16</v>
      </c>
      <c r="E7542" s="4">
        <f>471.11*(1-Z1%)</f>
        <v>471.11</v>
      </c>
      <c r="F7542" s="2">
        <v>3</v>
      </c>
      <c r="G7542" s="2"/>
    </row>
    <row r="7543" spans="1:26" customHeight="1" ht="36" hidden="true" outlineLevel="3">
      <c r="A7543" s="2" t="s">
        <v>14239</v>
      </c>
      <c r="B7543" s="3" t="s">
        <v>14240</v>
      </c>
      <c r="C7543" s="2"/>
      <c r="D7543" s="2" t="s">
        <v>16</v>
      </c>
      <c r="E7543" s="4">
        <f>576.44*(1-Z1%)</f>
        <v>576.44</v>
      </c>
      <c r="F7543" s="2">
        <v>2</v>
      </c>
      <c r="G7543" s="2"/>
    </row>
    <row r="7544" spans="1:26" customHeight="1" ht="35" hidden="true" outlineLevel="3">
      <c r="A7544" s="5" t="s">
        <v>14241</v>
      </c>
      <c r="B7544" s="5"/>
      <c r="C7544" s="5"/>
      <c r="D7544" s="5"/>
      <c r="E7544" s="5"/>
      <c r="F7544" s="5"/>
      <c r="G7544" s="5"/>
    </row>
    <row r="7545" spans="1:26" customHeight="1" ht="18" hidden="true" outlineLevel="3">
      <c r="A7545" s="2" t="s">
        <v>14242</v>
      </c>
      <c r="B7545" s="3" t="s">
        <v>14243</v>
      </c>
      <c r="C7545" s="2"/>
      <c r="D7545" s="2" t="s">
        <v>16</v>
      </c>
      <c r="E7545" s="4">
        <f>6.73*(1-Z1%)</f>
        <v>6.73</v>
      </c>
      <c r="F7545" s="2">
        <v>90</v>
      </c>
      <c r="G7545" s="2"/>
    </row>
    <row r="7546" spans="1:26" customHeight="1" ht="18" hidden="true" outlineLevel="3">
      <c r="A7546" s="2" t="s">
        <v>14244</v>
      </c>
      <c r="B7546" s="3" t="s">
        <v>14245</v>
      </c>
      <c r="C7546" s="2"/>
      <c r="D7546" s="2" t="s">
        <v>16</v>
      </c>
      <c r="E7546" s="4">
        <f>3.53*(1-Z1%)</f>
        <v>3.53</v>
      </c>
      <c r="F7546" s="2">
        <v>90</v>
      </c>
      <c r="G7546" s="2"/>
    </row>
    <row r="7547" spans="1:26" customHeight="1" ht="18" hidden="true" outlineLevel="3">
      <c r="A7547" s="2" t="s">
        <v>14246</v>
      </c>
      <c r="B7547" s="3" t="s">
        <v>14247</v>
      </c>
      <c r="C7547" s="2"/>
      <c r="D7547" s="2" t="s">
        <v>16</v>
      </c>
      <c r="E7547" s="4">
        <f>7.56*(1-Z1%)</f>
        <v>7.56</v>
      </c>
      <c r="F7547" s="2">
        <v>90</v>
      </c>
      <c r="G7547" s="2"/>
    </row>
    <row r="7548" spans="1:26" customHeight="1" ht="18" hidden="true" outlineLevel="3">
      <c r="A7548" s="2" t="s">
        <v>14248</v>
      </c>
      <c r="B7548" s="3" t="s">
        <v>14249</v>
      </c>
      <c r="C7548" s="2"/>
      <c r="D7548" s="2" t="s">
        <v>16</v>
      </c>
      <c r="E7548" s="4">
        <f>4.03*(1-Z1%)</f>
        <v>4.03</v>
      </c>
      <c r="F7548" s="2">
        <v>90</v>
      </c>
      <c r="G7548" s="2"/>
    </row>
    <row r="7549" spans="1:26" customHeight="1" ht="18" hidden="true" outlineLevel="3">
      <c r="A7549" s="2" t="s">
        <v>14250</v>
      </c>
      <c r="B7549" s="3" t="s">
        <v>14251</v>
      </c>
      <c r="C7549" s="2"/>
      <c r="D7549" s="2" t="s">
        <v>16</v>
      </c>
      <c r="E7549" s="4">
        <f>12.58*(1-Z1%)</f>
        <v>12.58</v>
      </c>
      <c r="F7549" s="2">
        <v>10</v>
      </c>
      <c r="G7549" s="2"/>
    </row>
    <row r="7550" spans="1:26" customHeight="1" ht="18" hidden="true" outlineLevel="3">
      <c r="A7550" s="2" t="s">
        <v>14252</v>
      </c>
      <c r="B7550" s="3" t="s">
        <v>14253</v>
      </c>
      <c r="C7550" s="2"/>
      <c r="D7550" s="2" t="s">
        <v>16</v>
      </c>
      <c r="E7550" s="4">
        <f>12.58*(1-Z1%)</f>
        <v>12.58</v>
      </c>
      <c r="F7550" s="2">
        <v>10</v>
      </c>
      <c r="G7550" s="2"/>
    </row>
    <row r="7551" spans="1:26" customHeight="1" ht="18" hidden="true" outlineLevel="3">
      <c r="A7551" s="2" t="s">
        <v>14254</v>
      </c>
      <c r="B7551" s="3" t="s">
        <v>14255</v>
      </c>
      <c r="C7551" s="2"/>
      <c r="D7551" s="2" t="s">
        <v>16</v>
      </c>
      <c r="E7551" s="4">
        <f>16.13*(1-Z1%)</f>
        <v>16.13</v>
      </c>
      <c r="F7551" s="2">
        <v>10</v>
      </c>
      <c r="G7551" s="2"/>
    </row>
    <row r="7552" spans="1:26" customHeight="1" ht="18" hidden="true" outlineLevel="3">
      <c r="A7552" s="2" t="s">
        <v>14256</v>
      </c>
      <c r="B7552" s="3" t="s">
        <v>14257</v>
      </c>
      <c r="C7552" s="2"/>
      <c r="D7552" s="2" t="s">
        <v>16</v>
      </c>
      <c r="E7552" s="4">
        <f>16.13*(1-Z1%)</f>
        <v>16.13</v>
      </c>
      <c r="F7552" s="2">
        <v>10</v>
      </c>
      <c r="G7552" s="2"/>
    </row>
    <row r="7553" spans="1:26" customHeight="1" ht="18" hidden="true" outlineLevel="3">
      <c r="A7553" s="2" t="s">
        <v>14258</v>
      </c>
      <c r="B7553" s="3" t="s">
        <v>14259</v>
      </c>
      <c r="C7553" s="2"/>
      <c r="D7553" s="2" t="s">
        <v>16</v>
      </c>
      <c r="E7553" s="4">
        <f>20.70*(1-Z1%)</f>
        <v>20.7</v>
      </c>
      <c r="F7553" s="2">
        <v>10</v>
      </c>
      <c r="G7553" s="2"/>
    </row>
    <row r="7554" spans="1:26" customHeight="1" ht="18" hidden="true" outlineLevel="3">
      <c r="A7554" s="2" t="s">
        <v>14260</v>
      </c>
      <c r="B7554" s="3" t="s">
        <v>14261</v>
      </c>
      <c r="C7554" s="2"/>
      <c r="D7554" s="2" t="s">
        <v>16</v>
      </c>
      <c r="E7554" s="4">
        <f>20.70*(1-Z1%)</f>
        <v>20.7</v>
      </c>
      <c r="F7554" s="2">
        <v>10</v>
      </c>
      <c r="G7554" s="2"/>
    </row>
    <row r="7555" spans="1:26" customHeight="1" ht="18" hidden="true" outlineLevel="3">
      <c r="A7555" s="2" t="s">
        <v>14262</v>
      </c>
      <c r="B7555" s="3" t="s">
        <v>14263</v>
      </c>
      <c r="C7555" s="2"/>
      <c r="D7555" s="2" t="s">
        <v>16</v>
      </c>
      <c r="E7555" s="4">
        <f>34.53*(1-Z1%)</f>
        <v>34.53</v>
      </c>
      <c r="F7555" s="2">
        <v>10</v>
      </c>
      <c r="G7555" s="2"/>
    </row>
    <row r="7556" spans="1:26" customHeight="1" ht="18" hidden="true" outlineLevel="3">
      <c r="A7556" s="2" t="s">
        <v>14264</v>
      </c>
      <c r="B7556" s="3" t="s">
        <v>14265</v>
      </c>
      <c r="C7556" s="2"/>
      <c r="D7556" s="2" t="s">
        <v>16</v>
      </c>
      <c r="E7556" s="4">
        <f>34.53*(1-Z1%)</f>
        <v>34.53</v>
      </c>
      <c r="F7556" s="2">
        <v>10</v>
      </c>
      <c r="G7556" s="2"/>
    </row>
    <row r="7557" spans="1:26" customHeight="1" ht="18" hidden="true" outlineLevel="3">
      <c r="A7557" s="2" t="s">
        <v>14266</v>
      </c>
      <c r="B7557" s="3" t="s">
        <v>14267</v>
      </c>
      <c r="C7557" s="2"/>
      <c r="D7557" s="2" t="s">
        <v>16</v>
      </c>
      <c r="E7557" s="4">
        <f>43.80*(1-Z1%)</f>
        <v>43.8</v>
      </c>
      <c r="F7557" s="2">
        <v>10</v>
      </c>
      <c r="G7557" s="2"/>
    </row>
    <row r="7558" spans="1:26" customHeight="1" ht="18" hidden="true" outlineLevel="3">
      <c r="A7558" s="2" t="s">
        <v>14268</v>
      </c>
      <c r="B7558" s="3" t="s">
        <v>14269</v>
      </c>
      <c r="C7558" s="2"/>
      <c r="D7558" s="2" t="s">
        <v>16</v>
      </c>
      <c r="E7558" s="4">
        <f>50.67*(1-Z1%)</f>
        <v>50.67</v>
      </c>
      <c r="F7558" s="2">
        <v>10</v>
      </c>
      <c r="G7558" s="2"/>
    </row>
    <row r="7559" spans="1:26" customHeight="1" ht="18" hidden="true" outlineLevel="3">
      <c r="A7559" s="2" t="s">
        <v>14270</v>
      </c>
      <c r="B7559" s="3" t="s">
        <v>14271</v>
      </c>
      <c r="C7559" s="2"/>
      <c r="D7559" s="2" t="s">
        <v>16</v>
      </c>
      <c r="E7559" s="4">
        <f>57.40*(1-Z1%)</f>
        <v>57.4</v>
      </c>
      <c r="F7559" s="2">
        <v>10</v>
      </c>
      <c r="G7559" s="2"/>
    </row>
    <row r="7560" spans="1:26" customHeight="1" ht="35" hidden="true" outlineLevel="3">
      <c r="A7560" s="5" t="s">
        <v>14272</v>
      </c>
      <c r="B7560" s="5"/>
      <c r="C7560" s="5"/>
      <c r="D7560" s="5"/>
      <c r="E7560" s="5"/>
      <c r="F7560" s="5"/>
      <c r="G7560" s="5"/>
    </row>
    <row r="7561" spans="1:26" customHeight="1" ht="36" hidden="true" outlineLevel="3">
      <c r="A7561" s="2" t="s">
        <v>14273</v>
      </c>
      <c r="B7561" s="3" t="s">
        <v>14274</v>
      </c>
      <c r="C7561" s="2"/>
      <c r="D7561" s="2" t="s">
        <v>16</v>
      </c>
      <c r="E7561" s="4">
        <f>854.12*(1-Z1%)</f>
        <v>854.12</v>
      </c>
      <c r="F7561" s="2">
        <v>3</v>
      </c>
      <c r="G7561" s="2"/>
    </row>
    <row r="7562" spans="1:26" customHeight="1" ht="36" hidden="true" outlineLevel="3">
      <c r="A7562" s="2" t="s">
        <v>14275</v>
      </c>
      <c r="B7562" s="3" t="s">
        <v>14276</v>
      </c>
      <c r="C7562" s="2"/>
      <c r="D7562" s="2" t="s">
        <v>16</v>
      </c>
      <c r="E7562" s="4">
        <f>3018.01*(1-Z1%)</f>
        <v>3018.01</v>
      </c>
      <c r="F7562" s="2">
        <v>1</v>
      </c>
      <c r="G7562" s="2"/>
    </row>
    <row r="7563" spans="1:26" customHeight="1" ht="35" hidden="true" outlineLevel="3">
      <c r="A7563" s="5" t="s">
        <v>14277</v>
      </c>
      <c r="B7563" s="5"/>
      <c r="C7563" s="5"/>
      <c r="D7563" s="5"/>
      <c r="E7563" s="5"/>
      <c r="F7563" s="5"/>
      <c r="G7563" s="5"/>
    </row>
    <row r="7564" spans="1:26" customHeight="1" ht="36" hidden="true" outlineLevel="3">
      <c r="A7564" s="2" t="s">
        <v>14278</v>
      </c>
      <c r="B7564" s="3" t="s">
        <v>14279</v>
      </c>
      <c r="C7564" s="2"/>
      <c r="D7564" s="2" t="s">
        <v>16</v>
      </c>
      <c r="E7564" s="4">
        <f>250.38*(1-Z1%)</f>
        <v>250.38</v>
      </c>
      <c r="F7564" s="2">
        <v>1</v>
      </c>
      <c r="G7564" s="2"/>
    </row>
    <row r="7565" spans="1:26" customHeight="1" ht="35" hidden="true" outlineLevel="3">
      <c r="A7565" s="5" t="s">
        <v>14280</v>
      </c>
      <c r="B7565" s="5"/>
      <c r="C7565" s="5"/>
      <c r="D7565" s="5"/>
      <c r="E7565" s="5"/>
      <c r="F7565" s="5"/>
      <c r="G7565" s="5"/>
    </row>
    <row r="7566" spans="1:26" customHeight="1" ht="36" hidden="true" outlineLevel="3">
      <c r="A7566" s="2" t="s">
        <v>14281</v>
      </c>
      <c r="B7566" s="3" t="s">
        <v>14282</v>
      </c>
      <c r="C7566" s="2"/>
      <c r="D7566" s="2" t="s">
        <v>16</v>
      </c>
      <c r="E7566" s="4">
        <f>820.20*(1-Z1%)</f>
        <v>820.2</v>
      </c>
      <c r="F7566" s="2">
        <v>1</v>
      </c>
      <c r="G7566" s="2"/>
    </row>
    <row r="7567" spans="1:26" customHeight="1" ht="35" hidden="true" outlineLevel="3">
      <c r="A7567" s="5" t="s">
        <v>14283</v>
      </c>
      <c r="B7567" s="5"/>
      <c r="C7567" s="5"/>
      <c r="D7567" s="5"/>
      <c r="E7567" s="5"/>
      <c r="F7567" s="5"/>
      <c r="G7567" s="5"/>
    </row>
    <row r="7568" spans="1:26" customHeight="1" ht="18" hidden="true" outlineLevel="3">
      <c r="A7568" s="2" t="s">
        <v>14284</v>
      </c>
      <c r="B7568" s="3" t="s">
        <v>14285</v>
      </c>
      <c r="C7568" s="2"/>
      <c r="D7568" s="2" t="s">
        <v>16</v>
      </c>
      <c r="E7568" s="4">
        <f>403.18*(1-Z1%)</f>
        <v>403.18</v>
      </c>
      <c r="F7568" s="2">
        <v>1</v>
      </c>
      <c r="G7568" s="2"/>
    </row>
    <row r="7569" spans="1:26" customHeight="1" ht="35" hidden="true" outlineLevel="3">
      <c r="A7569" s="5" t="s">
        <v>14286</v>
      </c>
      <c r="B7569" s="5"/>
      <c r="C7569" s="5"/>
      <c r="D7569" s="5"/>
      <c r="E7569" s="5"/>
      <c r="F7569" s="5"/>
      <c r="G7569" s="5"/>
    </row>
    <row r="7570" spans="1:26" customHeight="1" ht="18" hidden="true" outlineLevel="3">
      <c r="A7570" s="2" t="s">
        <v>14287</v>
      </c>
      <c r="B7570" s="3" t="s">
        <v>14288</v>
      </c>
      <c r="C7570" s="2"/>
      <c r="D7570" s="2" t="s">
        <v>16</v>
      </c>
      <c r="E7570" s="4">
        <f>213.35*(1-Z1%)</f>
        <v>213.35</v>
      </c>
      <c r="F7570" s="2">
        <v>3</v>
      </c>
      <c r="G7570" s="2"/>
    </row>
    <row r="7571" spans="1:26" customHeight="1" ht="35" hidden="true" outlineLevel="2">
      <c r="A7571" s="5" t="s">
        <v>14289</v>
      </c>
      <c r="B7571" s="5"/>
      <c r="C7571" s="5"/>
      <c r="D7571" s="5"/>
      <c r="E7571" s="5"/>
      <c r="F7571" s="5"/>
      <c r="G7571" s="5"/>
    </row>
    <row r="7572" spans="1:26" customHeight="1" ht="35" hidden="true" outlineLevel="3">
      <c r="A7572" s="5" t="s">
        <v>14290</v>
      </c>
      <c r="B7572" s="5"/>
      <c r="C7572" s="5"/>
      <c r="D7572" s="5"/>
      <c r="E7572" s="5"/>
      <c r="F7572" s="5"/>
      <c r="G7572" s="5"/>
    </row>
    <row r="7573" spans="1:26" customHeight="1" ht="36" hidden="true" outlineLevel="3">
      <c r="A7573" s="2" t="s">
        <v>14291</v>
      </c>
      <c r="B7573" s="3" t="s">
        <v>14292</v>
      </c>
      <c r="C7573" s="2"/>
      <c r="D7573" s="2" t="s">
        <v>16</v>
      </c>
      <c r="E7573" s="4">
        <f>343.42*(1-Z1%)</f>
        <v>343.42</v>
      </c>
      <c r="F7573" s="2">
        <v>1</v>
      </c>
      <c r="G7573" s="2"/>
    </row>
    <row r="7574" spans="1:26" customHeight="1" ht="36" hidden="true" outlineLevel="3">
      <c r="A7574" s="2" t="s">
        <v>14293</v>
      </c>
      <c r="B7574" s="3" t="s">
        <v>14294</v>
      </c>
      <c r="C7574" s="2"/>
      <c r="D7574" s="2" t="s">
        <v>16</v>
      </c>
      <c r="E7574" s="4">
        <f>505.49*(1-Z1%)</f>
        <v>505.49</v>
      </c>
      <c r="F7574" s="2">
        <v>1</v>
      </c>
      <c r="G7574" s="2"/>
    </row>
    <row r="7575" spans="1:26" customHeight="1" ht="35" hidden="true" outlineLevel="3">
      <c r="A7575" s="5" t="s">
        <v>14295</v>
      </c>
      <c r="B7575" s="5"/>
      <c r="C7575" s="5"/>
      <c r="D7575" s="5"/>
      <c r="E7575" s="5"/>
      <c r="F7575" s="5"/>
      <c r="G7575" s="5"/>
    </row>
    <row r="7576" spans="1:26" customHeight="1" ht="36" hidden="true" outlineLevel="3">
      <c r="A7576" s="2" t="s">
        <v>14296</v>
      </c>
      <c r="B7576" s="3" t="s">
        <v>14297</v>
      </c>
      <c r="C7576" s="2"/>
      <c r="D7576" s="2" t="s">
        <v>16</v>
      </c>
      <c r="E7576" s="4">
        <f>176.39*(1-Z1%)</f>
        <v>176.39</v>
      </c>
      <c r="F7576" s="2">
        <v>3</v>
      </c>
      <c r="G7576" s="2"/>
    </row>
    <row r="7577" spans="1:26" customHeight="1" ht="18" hidden="true" outlineLevel="3">
      <c r="A7577" s="2" t="s">
        <v>14298</v>
      </c>
      <c r="B7577" s="3" t="s">
        <v>14299</v>
      </c>
      <c r="C7577" s="2"/>
      <c r="D7577" s="2" t="s">
        <v>16</v>
      </c>
      <c r="E7577" s="4">
        <f>243.18*(1-Z1%)</f>
        <v>243.18</v>
      </c>
      <c r="F7577" s="2">
        <v>1</v>
      </c>
      <c r="G7577" s="2"/>
    </row>
    <row r="7578" spans="1:26" customHeight="1" ht="35" hidden="true" outlineLevel="2">
      <c r="A7578" s="5" t="s">
        <v>14300</v>
      </c>
      <c r="B7578" s="5"/>
      <c r="C7578" s="5"/>
      <c r="D7578" s="5"/>
      <c r="E7578" s="5"/>
      <c r="F7578" s="5"/>
      <c r="G7578" s="5"/>
    </row>
    <row r="7579" spans="1:26" customHeight="1" ht="18" hidden="true" outlineLevel="2">
      <c r="A7579" s="2" t="s">
        <v>14301</v>
      </c>
      <c r="B7579" s="3" t="s">
        <v>14302</v>
      </c>
      <c r="C7579" s="2"/>
      <c r="D7579" s="2" t="s">
        <v>16</v>
      </c>
      <c r="E7579" s="4">
        <f>1762.21*(1-Z1%)</f>
        <v>1762.21</v>
      </c>
      <c r="F7579" s="2">
        <v>1</v>
      </c>
      <c r="G7579" s="2"/>
    </row>
    <row r="7580" spans="1:26" customHeight="1" ht="18" hidden="true" outlineLevel="2">
      <c r="A7580" s="2" t="s">
        <v>14303</v>
      </c>
      <c r="B7580" s="3" t="s">
        <v>14304</v>
      </c>
      <c r="C7580" s="2"/>
      <c r="D7580" s="2" t="s">
        <v>16</v>
      </c>
      <c r="E7580" s="4">
        <f>2805.38*(1-Z1%)</f>
        <v>2805.38</v>
      </c>
      <c r="F7580" s="2">
        <v>1</v>
      </c>
      <c r="G7580" s="2"/>
    </row>
    <row r="7581" spans="1:26" customHeight="1" ht="18" hidden="true" outlineLevel="2">
      <c r="A7581" s="2" t="s">
        <v>14305</v>
      </c>
      <c r="B7581" s="3" t="s">
        <v>14306</v>
      </c>
      <c r="C7581" s="2"/>
      <c r="D7581" s="2" t="s">
        <v>16</v>
      </c>
      <c r="E7581" s="4">
        <f>1225.20*(1-Z1%)</f>
        <v>1225.2</v>
      </c>
      <c r="F7581" s="2">
        <v>1</v>
      </c>
      <c r="G7581" s="2"/>
    </row>
    <row r="7582" spans="1:26" customHeight="1" ht="18" hidden="true" outlineLevel="2">
      <c r="A7582" s="2" t="s">
        <v>14307</v>
      </c>
      <c r="B7582" s="3" t="s">
        <v>14308</v>
      </c>
      <c r="C7582" s="2"/>
      <c r="D7582" s="2" t="s">
        <v>16</v>
      </c>
      <c r="E7582" s="4">
        <f>2124.30*(1-Z1%)</f>
        <v>2124.3</v>
      </c>
      <c r="F7582" s="2">
        <v>1</v>
      </c>
      <c r="G7582" s="2"/>
    </row>
    <row r="7583" spans="1:26" customHeight="1" ht="36" hidden="true" outlineLevel="2">
      <c r="A7583" s="2" t="s">
        <v>14309</v>
      </c>
      <c r="B7583" s="3" t="s">
        <v>14310</v>
      </c>
      <c r="C7583" s="2"/>
      <c r="D7583" s="2" t="s">
        <v>16</v>
      </c>
      <c r="E7583" s="4">
        <f>1437.69*(1-Z1%)</f>
        <v>1437.69</v>
      </c>
      <c r="F7583" s="2">
        <v>1</v>
      </c>
      <c r="G7583" s="2"/>
    </row>
    <row r="7584" spans="1:26" customHeight="1" ht="36" hidden="true" outlineLevel="2">
      <c r="A7584" s="2" t="s">
        <v>14311</v>
      </c>
      <c r="B7584" s="3" t="s">
        <v>14312</v>
      </c>
      <c r="C7584" s="2"/>
      <c r="D7584" s="2" t="s">
        <v>16</v>
      </c>
      <c r="E7584" s="4">
        <f>1298.39*(1-Z1%)</f>
        <v>1298.39</v>
      </c>
      <c r="F7584" s="2">
        <v>1</v>
      </c>
      <c r="G7584" s="2"/>
    </row>
    <row r="7585" spans="1:26" customHeight="1" ht="18" hidden="true" outlineLevel="2">
      <c r="A7585" s="2" t="s">
        <v>14313</v>
      </c>
      <c r="B7585" s="3" t="s">
        <v>14314</v>
      </c>
      <c r="C7585" s="2"/>
      <c r="D7585" s="2" t="s">
        <v>16</v>
      </c>
      <c r="E7585" s="4">
        <f>266.07*(1-Z1%)</f>
        <v>266.07</v>
      </c>
      <c r="F7585" s="2">
        <v>4</v>
      </c>
      <c r="G7585" s="2"/>
    </row>
    <row r="7586" spans="1:26" customHeight="1" ht="18" hidden="true" outlineLevel="2">
      <c r="A7586" s="2" t="s">
        <v>14315</v>
      </c>
      <c r="B7586" s="3" t="s">
        <v>14316</v>
      </c>
      <c r="C7586" s="2"/>
      <c r="D7586" s="2" t="s">
        <v>16</v>
      </c>
      <c r="E7586" s="4">
        <f>396.00*(1-Z1%)</f>
        <v>396</v>
      </c>
      <c r="F7586" s="2">
        <v>4</v>
      </c>
      <c r="G7586" s="2"/>
    </row>
    <row r="7587" spans="1:26" customHeight="1" ht="35" hidden="true" outlineLevel="2">
      <c r="A7587" s="5" t="s">
        <v>14317</v>
      </c>
      <c r="B7587" s="5"/>
      <c r="C7587" s="5"/>
      <c r="D7587" s="5"/>
      <c r="E7587" s="5"/>
      <c r="F7587" s="5"/>
      <c r="G7587" s="5"/>
    </row>
    <row r="7588" spans="1:26" customHeight="1" ht="36" hidden="true" outlineLevel="2">
      <c r="A7588" s="2" t="s">
        <v>14318</v>
      </c>
      <c r="B7588" s="3" t="s">
        <v>14319</v>
      </c>
      <c r="C7588" s="2"/>
      <c r="D7588" s="2" t="s">
        <v>16</v>
      </c>
      <c r="E7588" s="4">
        <f>395.84*(1-Z1%)</f>
        <v>395.84</v>
      </c>
      <c r="F7588" s="2">
        <v>1</v>
      </c>
      <c r="G7588" s="2"/>
    </row>
    <row r="7589" spans="1:26" customHeight="1" ht="18" hidden="true" outlineLevel="2">
      <c r="A7589" s="2" t="s">
        <v>14320</v>
      </c>
      <c r="B7589" s="3" t="s">
        <v>14321</v>
      </c>
      <c r="C7589" s="2"/>
      <c r="D7589" s="2" t="s">
        <v>16</v>
      </c>
      <c r="E7589" s="4">
        <f>541.33*(1-Z1%)</f>
        <v>541.33</v>
      </c>
      <c r="F7589" s="2">
        <v>2</v>
      </c>
      <c r="G7589" s="2"/>
    </row>
    <row r="7590" spans="1:26" customHeight="1" ht="36" hidden="true" outlineLevel="2">
      <c r="A7590" s="2" t="s">
        <v>14322</v>
      </c>
      <c r="B7590" s="3" t="s">
        <v>14323</v>
      </c>
      <c r="C7590" s="2"/>
      <c r="D7590" s="2" t="s">
        <v>16</v>
      </c>
      <c r="E7590" s="4">
        <f>2105.65*(1-Z1%)</f>
        <v>2105.65</v>
      </c>
      <c r="F7590" s="2">
        <v>1</v>
      </c>
      <c r="G7590" s="2"/>
    </row>
    <row r="7591" spans="1:26" customHeight="1" ht="35" hidden="true" outlineLevel="2">
      <c r="A7591" s="5" t="s">
        <v>14324</v>
      </c>
      <c r="B7591" s="5"/>
      <c r="C7591" s="5"/>
      <c r="D7591" s="5"/>
      <c r="E7591" s="5"/>
      <c r="F7591" s="5"/>
      <c r="G7591" s="5"/>
    </row>
    <row r="7592" spans="1:26" customHeight="1" ht="35" hidden="true" outlineLevel="3">
      <c r="A7592" s="5" t="s">
        <v>14325</v>
      </c>
      <c r="B7592" s="5"/>
      <c r="C7592" s="5"/>
      <c r="D7592" s="5"/>
      <c r="E7592" s="5"/>
      <c r="F7592" s="5"/>
      <c r="G7592" s="5"/>
    </row>
    <row r="7593" spans="1:26" customHeight="1" ht="18" hidden="true" outlineLevel="3">
      <c r="A7593" s="2" t="s">
        <v>14326</v>
      </c>
      <c r="B7593" s="3" t="s">
        <v>14327</v>
      </c>
      <c r="C7593" s="2"/>
      <c r="D7593" s="2" t="s">
        <v>16</v>
      </c>
      <c r="E7593" s="4">
        <f>704.03*(1-Z1%)</f>
        <v>704.03</v>
      </c>
      <c r="F7593" s="2">
        <v>3</v>
      </c>
      <c r="G7593" s="2"/>
    </row>
    <row r="7594" spans="1:26" customHeight="1" ht="18" hidden="true" outlineLevel="3">
      <c r="A7594" s="2" t="s">
        <v>14328</v>
      </c>
      <c r="B7594" s="3" t="s">
        <v>14329</v>
      </c>
      <c r="C7594" s="2"/>
      <c r="D7594" s="2" t="s">
        <v>16</v>
      </c>
      <c r="E7594" s="4">
        <f>1103.89*(1-Z1%)</f>
        <v>1103.89</v>
      </c>
      <c r="F7594" s="2">
        <v>2</v>
      </c>
      <c r="G7594" s="2"/>
    </row>
    <row r="7595" spans="1:26" customHeight="1" ht="18" hidden="true" outlineLevel="3">
      <c r="A7595" s="2" t="s">
        <v>14330</v>
      </c>
      <c r="B7595" s="3" t="s">
        <v>14331</v>
      </c>
      <c r="C7595" s="2"/>
      <c r="D7595" s="2" t="s">
        <v>16</v>
      </c>
      <c r="E7595" s="4">
        <f>946.18*(1-Z1%)</f>
        <v>946.18</v>
      </c>
      <c r="F7595" s="2">
        <v>1</v>
      </c>
      <c r="G7595" s="2"/>
    </row>
    <row r="7596" spans="1:26" customHeight="1" ht="18" hidden="true" outlineLevel="3">
      <c r="A7596" s="2" t="s">
        <v>14332</v>
      </c>
      <c r="B7596" s="3" t="s">
        <v>14333</v>
      </c>
      <c r="C7596" s="2"/>
      <c r="D7596" s="2" t="s">
        <v>16</v>
      </c>
      <c r="E7596" s="4">
        <f>1166.96*(1-Z1%)</f>
        <v>1166.96</v>
      </c>
      <c r="F7596" s="2">
        <v>1</v>
      </c>
      <c r="G7596" s="2"/>
    </row>
    <row r="7597" spans="1:26" customHeight="1" ht="18" hidden="true" outlineLevel="3">
      <c r="A7597" s="2" t="s">
        <v>14334</v>
      </c>
      <c r="B7597" s="3" t="s">
        <v>14335</v>
      </c>
      <c r="C7597" s="2"/>
      <c r="D7597" s="2" t="s">
        <v>16</v>
      </c>
      <c r="E7597" s="4">
        <f>952.80*(1-Z1%)</f>
        <v>952.8</v>
      </c>
      <c r="F7597" s="2">
        <v>3</v>
      </c>
      <c r="G7597" s="2"/>
    </row>
    <row r="7598" spans="1:26" customHeight="1" ht="35" hidden="true" outlineLevel="3">
      <c r="A7598" s="5" t="s">
        <v>14336</v>
      </c>
      <c r="B7598" s="5"/>
      <c r="C7598" s="5"/>
      <c r="D7598" s="5"/>
      <c r="E7598" s="5"/>
      <c r="F7598" s="5"/>
      <c r="G7598" s="5"/>
    </row>
    <row r="7599" spans="1:26" customHeight="1" ht="36" hidden="true" outlineLevel="3">
      <c r="A7599" s="2" t="s">
        <v>14337</v>
      </c>
      <c r="B7599" s="3" t="s">
        <v>14338</v>
      </c>
      <c r="C7599" s="2"/>
      <c r="D7599" s="2" t="s">
        <v>16</v>
      </c>
      <c r="E7599" s="4">
        <f>324.32*(1-Z1%)</f>
        <v>324.32</v>
      </c>
      <c r="F7599" s="2">
        <v>3</v>
      </c>
      <c r="G7599" s="2"/>
    </row>
    <row r="7600" spans="1:26" customHeight="1" ht="72" hidden="true" outlineLevel="3">
      <c r="A7600" s="2" t="s">
        <v>14339</v>
      </c>
      <c r="B7600" s="3" t="s">
        <v>14340</v>
      </c>
      <c r="C7600" s="2"/>
      <c r="D7600" s="2" t="s">
        <v>16</v>
      </c>
      <c r="E7600" s="4">
        <f>606.03*(1-Z1%)</f>
        <v>606.03</v>
      </c>
      <c r="F7600" s="2">
        <v>4</v>
      </c>
      <c r="G7600" s="2"/>
    </row>
    <row r="7601" spans="1:26" customHeight="1" ht="18" hidden="true" outlineLevel="3">
      <c r="A7601" s="2" t="s">
        <v>14341</v>
      </c>
      <c r="B7601" s="3" t="s">
        <v>14342</v>
      </c>
      <c r="C7601" s="2"/>
      <c r="D7601" s="2" t="s">
        <v>16</v>
      </c>
      <c r="E7601" s="4">
        <f>407.58*(1-Z1%)</f>
        <v>407.58</v>
      </c>
      <c r="F7601" s="2">
        <v>3</v>
      </c>
      <c r="G7601" s="2"/>
    </row>
    <row r="7602" spans="1:26" customHeight="1" ht="36" hidden="true" outlineLevel="3">
      <c r="A7602" s="2" t="s">
        <v>14343</v>
      </c>
      <c r="B7602" s="3" t="s">
        <v>14344</v>
      </c>
      <c r="C7602" s="2"/>
      <c r="D7602" s="2" t="s">
        <v>16</v>
      </c>
      <c r="E7602" s="4">
        <f>708.47*(1-Z1%)</f>
        <v>708.47</v>
      </c>
      <c r="F7602" s="2">
        <v>1</v>
      </c>
      <c r="G7602" s="2"/>
    </row>
    <row r="7603" spans="1:26" customHeight="1" ht="36" hidden="true" outlineLevel="3">
      <c r="A7603" s="2" t="s">
        <v>14345</v>
      </c>
      <c r="B7603" s="3" t="s">
        <v>14346</v>
      </c>
      <c r="C7603" s="2"/>
      <c r="D7603" s="2" t="s">
        <v>16</v>
      </c>
      <c r="E7603" s="4">
        <f>890.66*(1-Z1%)</f>
        <v>890.66</v>
      </c>
      <c r="F7603" s="2">
        <v>3</v>
      </c>
      <c r="G7603" s="2"/>
    </row>
    <row r="7604" spans="1:26" customHeight="1" ht="36" hidden="true" outlineLevel="3">
      <c r="A7604" s="2" t="s">
        <v>14347</v>
      </c>
      <c r="B7604" s="3" t="s">
        <v>14348</v>
      </c>
      <c r="C7604" s="2"/>
      <c r="D7604" s="2" t="s">
        <v>16</v>
      </c>
      <c r="E7604" s="4">
        <f>702.51*(1-Z1%)</f>
        <v>702.51</v>
      </c>
      <c r="F7604" s="2">
        <v>1</v>
      </c>
      <c r="G7604" s="2"/>
    </row>
    <row r="7605" spans="1:26" customHeight="1" ht="36" hidden="true" outlineLevel="3">
      <c r="A7605" s="2" t="s">
        <v>14349</v>
      </c>
      <c r="B7605" s="3" t="s">
        <v>14350</v>
      </c>
      <c r="C7605" s="2"/>
      <c r="D7605" s="2" t="s">
        <v>16</v>
      </c>
      <c r="E7605" s="4">
        <f>811.67*(1-Z1%)</f>
        <v>811.67</v>
      </c>
      <c r="F7605" s="2">
        <v>3</v>
      </c>
      <c r="G7605" s="2"/>
    </row>
    <row r="7606" spans="1:26" customHeight="1" ht="35" hidden="true" outlineLevel="2">
      <c r="A7606" s="5" t="s">
        <v>14351</v>
      </c>
      <c r="B7606" s="5"/>
      <c r="C7606" s="5"/>
      <c r="D7606" s="5"/>
      <c r="E7606" s="5"/>
      <c r="F7606" s="5"/>
      <c r="G7606" s="5"/>
    </row>
    <row r="7607" spans="1:26" customHeight="1" ht="35" hidden="true" outlineLevel="3">
      <c r="A7607" s="5" t="s">
        <v>14352</v>
      </c>
      <c r="B7607" s="5"/>
      <c r="C7607" s="5"/>
      <c r="D7607" s="5"/>
      <c r="E7607" s="5"/>
      <c r="F7607" s="5"/>
      <c r="G7607" s="5"/>
    </row>
    <row r="7608" spans="1:26" customHeight="1" ht="18" hidden="true" outlineLevel="3">
      <c r="A7608" s="2" t="s">
        <v>14353</v>
      </c>
      <c r="B7608" s="3" t="s">
        <v>14354</v>
      </c>
      <c r="C7608" s="2"/>
      <c r="D7608" s="2" t="s">
        <v>16</v>
      </c>
      <c r="E7608" s="4">
        <f>507.08*(1-Z1%)</f>
        <v>507.08</v>
      </c>
      <c r="F7608" s="2">
        <v>1</v>
      </c>
      <c r="G7608" s="2"/>
    </row>
    <row r="7609" spans="1:26" customHeight="1" ht="18" hidden="true" outlineLevel="3">
      <c r="A7609" s="2" t="s">
        <v>14355</v>
      </c>
      <c r="B7609" s="3" t="s">
        <v>14356</v>
      </c>
      <c r="C7609" s="2"/>
      <c r="D7609" s="2" t="s">
        <v>16</v>
      </c>
      <c r="E7609" s="4">
        <f>873.90*(1-Z1%)</f>
        <v>873.9</v>
      </c>
      <c r="F7609" s="2">
        <v>1</v>
      </c>
      <c r="G7609" s="2"/>
    </row>
    <row r="7610" spans="1:26" customHeight="1" ht="35" hidden="true" outlineLevel="3">
      <c r="A7610" s="5" t="s">
        <v>14357</v>
      </c>
      <c r="B7610" s="5"/>
      <c r="C7610" s="5"/>
      <c r="D7610" s="5"/>
      <c r="E7610" s="5"/>
      <c r="F7610" s="5"/>
      <c r="G7610" s="5"/>
    </row>
    <row r="7611" spans="1:26" customHeight="1" ht="18" hidden="true" outlineLevel="3">
      <c r="A7611" s="2" t="s">
        <v>14358</v>
      </c>
      <c r="B7611" s="3" t="s">
        <v>14359</v>
      </c>
      <c r="C7611" s="2"/>
      <c r="D7611" s="2" t="s">
        <v>16</v>
      </c>
      <c r="E7611" s="4">
        <f>366.08*(1-Z1%)</f>
        <v>366.08</v>
      </c>
      <c r="F7611" s="2">
        <v>3</v>
      </c>
      <c r="G7611" s="2"/>
    </row>
    <row r="7612" spans="1:26" customHeight="1" ht="18" hidden="true" outlineLevel="3">
      <c r="A7612" s="2" t="s">
        <v>14360</v>
      </c>
      <c r="B7612" s="3" t="s">
        <v>14361</v>
      </c>
      <c r="C7612" s="2"/>
      <c r="D7612" s="2" t="s">
        <v>16</v>
      </c>
      <c r="E7612" s="4">
        <f>482.00*(1-Z1%)</f>
        <v>482</v>
      </c>
      <c r="F7612" s="2">
        <v>9</v>
      </c>
      <c r="G7612" s="2"/>
    </row>
    <row r="7613" spans="1:26" customHeight="1" ht="36" hidden="true" outlineLevel="3">
      <c r="A7613" s="2" t="s">
        <v>14362</v>
      </c>
      <c r="B7613" s="3" t="s">
        <v>14363</v>
      </c>
      <c r="C7613" s="2"/>
      <c r="D7613" s="2" t="s">
        <v>16</v>
      </c>
      <c r="E7613" s="4">
        <f>574.52*(1-Z1%)</f>
        <v>574.52</v>
      </c>
      <c r="F7613" s="2">
        <v>1</v>
      </c>
      <c r="G7613" s="2"/>
    </row>
    <row r="7614" spans="1:26" customHeight="1" ht="36" hidden="true" outlineLevel="3">
      <c r="A7614" s="2" t="s">
        <v>14364</v>
      </c>
      <c r="B7614" s="3" t="s">
        <v>14365</v>
      </c>
      <c r="C7614" s="2"/>
      <c r="D7614" s="2" t="s">
        <v>16</v>
      </c>
      <c r="E7614" s="4">
        <f>749.12*(1-Z1%)</f>
        <v>749.12</v>
      </c>
      <c r="F7614" s="2">
        <v>1</v>
      </c>
      <c r="G7614" s="2"/>
    </row>
    <row r="7615" spans="1:26" customHeight="1" ht="36" hidden="true" outlineLevel="3">
      <c r="A7615" s="2" t="s">
        <v>14366</v>
      </c>
      <c r="B7615" s="3" t="s">
        <v>14367</v>
      </c>
      <c r="C7615" s="2"/>
      <c r="D7615" s="2" t="s">
        <v>16</v>
      </c>
      <c r="E7615" s="4">
        <f>46.53*(1-Z1%)</f>
        <v>46.53</v>
      </c>
      <c r="F7615" s="2">
        <v>1</v>
      </c>
      <c r="G7615" s="2"/>
    </row>
    <row r="7616" spans="1:26" customHeight="1" ht="36" hidden="true" outlineLevel="3">
      <c r="A7616" s="2" t="s">
        <v>14368</v>
      </c>
      <c r="B7616" s="3" t="s">
        <v>14369</v>
      </c>
      <c r="C7616" s="2"/>
      <c r="D7616" s="2" t="s">
        <v>16</v>
      </c>
      <c r="E7616" s="4">
        <f>136.17*(1-Z1%)</f>
        <v>136.17</v>
      </c>
      <c r="F7616" s="2">
        <v>1</v>
      </c>
      <c r="G7616" s="2"/>
    </row>
    <row r="7617" spans="1:26" customHeight="1" ht="36" hidden="true" outlineLevel="3">
      <c r="A7617" s="2" t="s">
        <v>14370</v>
      </c>
      <c r="B7617" s="3" t="s">
        <v>14371</v>
      </c>
      <c r="C7617" s="2"/>
      <c r="D7617" s="2" t="s">
        <v>16</v>
      </c>
      <c r="E7617" s="4">
        <f>140.35*(1-Z1%)</f>
        <v>140.35</v>
      </c>
      <c r="F7617" s="2">
        <v>2</v>
      </c>
      <c r="G7617" s="2"/>
    </row>
    <row r="7618" spans="1:26" customHeight="1" ht="36" hidden="true" outlineLevel="3">
      <c r="A7618" s="2" t="s">
        <v>14372</v>
      </c>
      <c r="B7618" s="3" t="s">
        <v>14373</v>
      </c>
      <c r="C7618" s="2"/>
      <c r="D7618" s="2" t="s">
        <v>16</v>
      </c>
      <c r="E7618" s="4">
        <f>351.11*(1-Z1%)</f>
        <v>351.11</v>
      </c>
      <c r="F7618" s="2">
        <v>1</v>
      </c>
      <c r="G7618" s="2"/>
    </row>
    <row r="7619" spans="1:26" customHeight="1" ht="36" hidden="true" outlineLevel="3">
      <c r="A7619" s="2" t="s">
        <v>14374</v>
      </c>
      <c r="B7619" s="3" t="s">
        <v>14375</v>
      </c>
      <c r="C7619" s="2"/>
      <c r="D7619" s="2" t="s">
        <v>16</v>
      </c>
      <c r="E7619" s="4">
        <f>398.44*(1-Z1%)</f>
        <v>398.44</v>
      </c>
      <c r="F7619" s="2">
        <v>1</v>
      </c>
      <c r="G7619" s="2"/>
    </row>
    <row r="7620" spans="1:26" customHeight="1" ht="35" hidden="true" outlineLevel="3">
      <c r="A7620" s="5" t="s">
        <v>14376</v>
      </c>
      <c r="B7620" s="5"/>
      <c r="C7620" s="5"/>
      <c r="D7620" s="5"/>
      <c r="E7620" s="5"/>
      <c r="F7620" s="5"/>
      <c r="G7620" s="5"/>
    </row>
    <row r="7621" spans="1:26" customHeight="1" ht="35" hidden="true" outlineLevel="4">
      <c r="A7621" s="5" t="s">
        <v>14377</v>
      </c>
      <c r="B7621" s="5"/>
      <c r="C7621" s="5"/>
      <c r="D7621" s="5"/>
      <c r="E7621" s="5"/>
      <c r="F7621" s="5"/>
      <c r="G7621" s="5"/>
    </row>
    <row r="7622" spans="1:26" customHeight="1" ht="18" hidden="true" outlineLevel="4">
      <c r="A7622" s="2" t="s">
        <v>14378</v>
      </c>
      <c r="B7622" s="3" t="s">
        <v>14379</v>
      </c>
      <c r="C7622" s="2"/>
      <c r="D7622" s="2" t="s">
        <v>16</v>
      </c>
      <c r="E7622" s="4">
        <f>15.92*(1-Z1%)</f>
        <v>15.92</v>
      </c>
      <c r="F7622" s="2">
        <v>7</v>
      </c>
      <c r="G7622" s="2"/>
    </row>
    <row r="7623" spans="1:26" customHeight="1" ht="18" hidden="true" outlineLevel="4">
      <c r="A7623" s="2" t="s">
        <v>14380</v>
      </c>
      <c r="B7623" s="3" t="s">
        <v>14381</v>
      </c>
      <c r="C7623" s="2"/>
      <c r="D7623" s="2" t="s">
        <v>16</v>
      </c>
      <c r="E7623" s="4">
        <f>27.26*(1-Z1%)</f>
        <v>27.26</v>
      </c>
      <c r="F7623" s="2">
        <v>34</v>
      </c>
      <c r="G7623" s="2"/>
    </row>
    <row r="7624" spans="1:26" customHeight="1" ht="35" hidden="true" outlineLevel="4">
      <c r="A7624" s="5" t="s">
        <v>14382</v>
      </c>
      <c r="B7624" s="5"/>
      <c r="C7624" s="5"/>
      <c r="D7624" s="5"/>
      <c r="E7624" s="5"/>
      <c r="F7624" s="5"/>
      <c r="G7624" s="5"/>
    </row>
    <row r="7625" spans="1:26" customHeight="1" ht="36" hidden="true" outlineLevel="4">
      <c r="A7625" s="2" t="s">
        <v>14383</v>
      </c>
      <c r="B7625" s="3" t="s">
        <v>14384</v>
      </c>
      <c r="C7625" s="2"/>
      <c r="D7625" s="2" t="s">
        <v>16</v>
      </c>
      <c r="E7625" s="4">
        <f>54.80*(1-Z1%)</f>
        <v>54.8</v>
      </c>
      <c r="F7625" s="2">
        <v>1</v>
      </c>
      <c r="G7625" s="2"/>
    </row>
    <row r="7626" spans="1:26" customHeight="1" ht="36" hidden="true" outlineLevel="4">
      <c r="A7626" s="2" t="s">
        <v>14385</v>
      </c>
      <c r="B7626" s="3" t="s">
        <v>14386</v>
      </c>
      <c r="C7626" s="2"/>
      <c r="D7626" s="2" t="s">
        <v>16</v>
      </c>
      <c r="E7626" s="4">
        <f>51.44*(1-Z1%)</f>
        <v>51.44</v>
      </c>
      <c r="F7626" s="2">
        <v>3</v>
      </c>
      <c r="G7626" s="2"/>
    </row>
    <row r="7627" spans="1:26" customHeight="1" ht="36" hidden="true" outlineLevel="4">
      <c r="A7627" s="2" t="s">
        <v>14387</v>
      </c>
      <c r="B7627" s="3" t="s">
        <v>14388</v>
      </c>
      <c r="C7627" s="2"/>
      <c r="D7627" s="2" t="s">
        <v>16</v>
      </c>
      <c r="E7627" s="4">
        <f>41.71*(1-Z1%)</f>
        <v>41.71</v>
      </c>
      <c r="F7627" s="2">
        <v>6</v>
      </c>
      <c r="G7627" s="2"/>
    </row>
    <row r="7628" spans="1:26" customHeight="1" ht="36" hidden="true" outlineLevel="4">
      <c r="A7628" s="2" t="s">
        <v>14389</v>
      </c>
      <c r="B7628" s="3" t="s">
        <v>14390</v>
      </c>
      <c r="C7628" s="2"/>
      <c r="D7628" s="2" t="s">
        <v>16</v>
      </c>
      <c r="E7628" s="4">
        <f>71.42*(1-Z1%)</f>
        <v>71.42</v>
      </c>
      <c r="F7628" s="2">
        <v>3</v>
      </c>
      <c r="G7628" s="2"/>
    </row>
    <row r="7629" spans="1:26" customHeight="1" ht="36" hidden="true" outlineLevel="4">
      <c r="A7629" s="2" t="s">
        <v>14391</v>
      </c>
      <c r="B7629" s="3" t="s">
        <v>14392</v>
      </c>
      <c r="C7629" s="2"/>
      <c r="D7629" s="2" t="s">
        <v>16</v>
      </c>
      <c r="E7629" s="4">
        <f>59.59*(1-Z1%)</f>
        <v>59.59</v>
      </c>
      <c r="F7629" s="2">
        <v>3</v>
      </c>
      <c r="G7629" s="2"/>
    </row>
    <row r="7630" spans="1:26" customHeight="1" ht="36" hidden="true" outlineLevel="4">
      <c r="A7630" s="2" t="s">
        <v>14393</v>
      </c>
      <c r="B7630" s="3" t="s">
        <v>14394</v>
      </c>
      <c r="C7630" s="2"/>
      <c r="D7630" s="2" t="s">
        <v>16</v>
      </c>
      <c r="E7630" s="4">
        <f>52.17*(1-Z1%)</f>
        <v>52.17</v>
      </c>
      <c r="F7630" s="2">
        <v>5</v>
      </c>
      <c r="G7630" s="2"/>
    </row>
    <row r="7631" spans="1:26" customHeight="1" ht="36" hidden="true" outlineLevel="4">
      <c r="A7631" s="2" t="s">
        <v>14395</v>
      </c>
      <c r="B7631" s="3" t="s">
        <v>14396</v>
      </c>
      <c r="C7631" s="2"/>
      <c r="D7631" s="2" t="s">
        <v>16</v>
      </c>
      <c r="E7631" s="4">
        <f>52.43*(1-Z1%)</f>
        <v>52.43</v>
      </c>
      <c r="F7631" s="2">
        <v>3</v>
      </c>
      <c r="G7631" s="2"/>
    </row>
    <row r="7632" spans="1:26" customHeight="1" ht="36" hidden="true" outlineLevel="4">
      <c r="A7632" s="2" t="s">
        <v>14397</v>
      </c>
      <c r="B7632" s="3" t="s">
        <v>14398</v>
      </c>
      <c r="C7632" s="2"/>
      <c r="D7632" s="2" t="s">
        <v>16</v>
      </c>
      <c r="E7632" s="4">
        <f>68.04*(1-Z1%)</f>
        <v>68.04</v>
      </c>
      <c r="F7632" s="2">
        <v>8</v>
      </c>
      <c r="G7632" s="2"/>
    </row>
    <row r="7633" spans="1:26" customHeight="1" ht="36" hidden="true" outlineLevel="4">
      <c r="A7633" s="2" t="s">
        <v>14399</v>
      </c>
      <c r="B7633" s="3" t="s">
        <v>14400</v>
      </c>
      <c r="C7633" s="2"/>
      <c r="D7633" s="2" t="s">
        <v>16</v>
      </c>
      <c r="E7633" s="4">
        <f>45.24*(1-Z1%)</f>
        <v>45.24</v>
      </c>
      <c r="F7633" s="2">
        <v>3</v>
      </c>
      <c r="G7633" s="2"/>
    </row>
    <row r="7634" spans="1:26" customHeight="1" ht="36" hidden="true" outlineLevel="4">
      <c r="A7634" s="2" t="s">
        <v>14401</v>
      </c>
      <c r="B7634" s="3" t="s">
        <v>14402</v>
      </c>
      <c r="C7634" s="2"/>
      <c r="D7634" s="2" t="s">
        <v>16</v>
      </c>
      <c r="E7634" s="4">
        <f>84.50*(1-Z1%)</f>
        <v>84.5</v>
      </c>
      <c r="F7634" s="2">
        <v>16</v>
      </c>
      <c r="G7634" s="2"/>
    </row>
    <row r="7635" spans="1:26" customHeight="1" ht="36" hidden="true" outlineLevel="4">
      <c r="A7635" s="2" t="s">
        <v>14403</v>
      </c>
      <c r="B7635" s="3" t="s">
        <v>14404</v>
      </c>
      <c r="C7635" s="2"/>
      <c r="D7635" s="2" t="s">
        <v>16</v>
      </c>
      <c r="E7635" s="4">
        <f>59.35*(1-Z1%)</f>
        <v>59.35</v>
      </c>
      <c r="F7635" s="2">
        <v>10</v>
      </c>
      <c r="G7635" s="2"/>
    </row>
    <row r="7636" spans="1:26" customHeight="1" ht="36" hidden="true" outlineLevel="4">
      <c r="A7636" s="2" t="s">
        <v>14405</v>
      </c>
      <c r="B7636" s="3" t="s">
        <v>14406</v>
      </c>
      <c r="C7636" s="2"/>
      <c r="D7636" s="2" t="s">
        <v>16</v>
      </c>
      <c r="E7636" s="4">
        <f>42.89*(1-Z1%)</f>
        <v>42.89</v>
      </c>
      <c r="F7636" s="2">
        <v>5</v>
      </c>
      <c r="G7636" s="2"/>
    </row>
    <row r="7637" spans="1:26" customHeight="1" ht="36" hidden="true" outlineLevel="4">
      <c r="A7637" s="2" t="s">
        <v>14407</v>
      </c>
      <c r="B7637" s="3" t="s">
        <v>14408</v>
      </c>
      <c r="C7637" s="2"/>
      <c r="D7637" s="2" t="s">
        <v>16</v>
      </c>
      <c r="E7637" s="4">
        <f>48.85*(1-Z1%)</f>
        <v>48.85</v>
      </c>
      <c r="F7637" s="2">
        <v>3</v>
      </c>
      <c r="G7637" s="2"/>
    </row>
    <row r="7638" spans="1:26" customHeight="1" ht="36" hidden="true" outlineLevel="4">
      <c r="A7638" s="2" t="s">
        <v>14409</v>
      </c>
      <c r="B7638" s="3" t="s">
        <v>14410</v>
      </c>
      <c r="C7638" s="2"/>
      <c r="D7638" s="2" t="s">
        <v>16</v>
      </c>
      <c r="E7638" s="4">
        <f>103.81*(1-Z1%)</f>
        <v>103.81</v>
      </c>
      <c r="F7638" s="2">
        <v>7</v>
      </c>
      <c r="G7638" s="2"/>
    </row>
    <row r="7639" spans="1:26" customHeight="1" ht="36" hidden="true" outlineLevel="4">
      <c r="A7639" s="2" t="s">
        <v>14411</v>
      </c>
      <c r="B7639" s="3" t="s">
        <v>14412</v>
      </c>
      <c r="C7639" s="2"/>
      <c r="D7639" s="2" t="s">
        <v>16</v>
      </c>
      <c r="E7639" s="4">
        <f>55.76*(1-Z1%)</f>
        <v>55.76</v>
      </c>
      <c r="F7639" s="2">
        <v>7</v>
      </c>
      <c r="G7639" s="2"/>
    </row>
    <row r="7640" spans="1:26" customHeight="1" ht="35" hidden="true" outlineLevel="4">
      <c r="A7640" s="5" t="s">
        <v>14413</v>
      </c>
      <c r="B7640" s="5"/>
      <c r="C7640" s="5"/>
      <c r="D7640" s="5"/>
      <c r="E7640" s="5"/>
      <c r="F7640" s="5"/>
      <c r="G7640" s="5"/>
    </row>
    <row r="7641" spans="1:26" customHeight="1" ht="36" hidden="true" outlineLevel="4">
      <c r="A7641" s="2" t="s">
        <v>14414</v>
      </c>
      <c r="B7641" s="3" t="s">
        <v>14415</v>
      </c>
      <c r="C7641" s="2"/>
      <c r="D7641" s="2" t="s">
        <v>16</v>
      </c>
      <c r="E7641" s="4">
        <f>295.60*(1-Z1%)</f>
        <v>295.6</v>
      </c>
      <c r="F7641" s="2">
        <v>1</v>
      </c>
      <c r="G7641" s="2"/>
    </row>
    <row r="7642" spans="1:26" customHeight="1" ht="36" hidden="true" outlineLevel="4">
      <c r="A7642" s="2" t="s">
        <v>14416</v>
      </c>
      <c r="B7642" s="3" t="s">
        <v>14417</v>
      </c>
      <c r="C7642" s="2"/>
      <c r="D7642" s="2" t="s">
        <v>16</v>
      </c>
      <c r="E7642" s="4">
        <f>611.41*(1-Z1%)</f>
        <v>611.41</v>
      </c>
      <c r="F7642" s="2">
        <v>3</v>
      </c>
      <c r="G7642" s="2"/>
    </row>
    <row r="7643" spans="1:26" customHeight="1" ht="36" hidden="true" outlineLevel="4">
      <c r="A7643" s="2" t="s">
        <v>14418</v>
      </c>
      <c r="B7643" s="3" t="s">
        <v>14419</v>
      </c>
      <c r="C7643" s="2"/>
      <c r="D7643" s="2" t="s">
        <v>16</v>
      </c>
      <c r="E7643" s="4">
        <f>350.29*(1-Z1%)</f>
        <v>350.29</v>
      </c>
      <c r="F7643" s="2">
        <v>3</v>
      </c>
      <c r="G7643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G16"/>
    <mergeCell ref="A142:G142"/>
    <mergeCell ref="A143:G143"/>
    <mergeCell ref="A144:G144"/>
    <mergeCell ref="A145:G145"/>
    <mergeCell ref="A146:G146"/>
    <mergeCell ref="A157:G157"/>
    <mergeCell ref="A162:G162"/>
    <mergeCell ref="A168:G168"/>
    <mergeCell ref="A169:G169"/>
    <mergeCell ref="A171:G171"/>
    <mergeCell ref="A183:G183"/>
    <mergeCell ref="A190:G190"/>
    <mergeCell ref="A199:G199"/>
    <mergeCell ref="A200:G200"/>
    <mergeCell ref="A201:G201"/>
    <mergeCell ref="A205:G205"/>
    <mergeCell ref="A210:G210"/>
    <mergeCell ref="A211:G211"/>
    <mergeCell ref="A233:G233"/>
    <mergeCell ref="A235:G235"/>
    <mergeCell ref="A238:G238"/>
    <mergeCell ref="A243:G243"/>
    <mergeCell ref="A252:G252"/>
    <mergeCell ref="A255:G255"/>
    <mergeCell ref="A260:G260"/>
    <mergeCell ref="A264:G264"/>
    <mergeCell ref="A278:G278"/>
    <mergeCell ref="A279:G279"/>
    <mergeCell ref="A284:G284"/>
    <mergeCell ref="A289:G289"/>
    <mergeCell ref="A296:G296"/>
    <mergeCell ref="A297:G297"/>
    <mergeCell ref="A302:G302"/>
    <mergeCell ref="A308:G308"/>
    <mergeCell ref="A312:G312"/>
    <mergeCell ref="A315:G315"/>
    <mergeCell ref="A316:G316"/>
    <mergeCell ref="A325:G325"/>
    <mergeCell ref="A347:G347"/>
    <mergeCell ref="A352:G352"/>
    <mergeCell ref="A353:G353"/>
    <mergeCell ref="A356:G356"/>
    <mergeCell ref="A379:G379"/>
    <mergeCell ref="A385:G385"/>
    <mergeCell ref="A386:G386"/>
    <mergeCell ref="A391:G391"/>
    <mergeCell ref="A399:G399"/>
    <mergeCell ref="A400:G400"/>
    <mergeCell ref="A402:G402"/>
    <mergeCell ref="A473:G473"/>
    <mergeCell ref="A476:G476"/>
    <mergeCell ref="A487:G487"/>
    <mergeCell ref="A522:G522"/>
    <mergeCell ref="A527:G527"/>
    <mergeCell ref="A529:G529"/>
    <mergeCell ref="A537:G537"/>
    <mergeCell ref="A539:G539"/>
    <mergeCell ref="A553:G553"/>
    <mergeCell ref="A554:G554"/>
    <mergeCell ref="A566:G566"/>
    <mergeCell ref="A568:G568"/>
    <mergeCell ref="A570:G570"/>
    <mergeCell ref="A571:G571"/>
    <mergeCell ref="A574:G574"/>
    <mergeCell ref="A576:G576"/>
    <mergeCell ref="A580:G580"/>
    <mergeCell ref="A582:G582"/>
    <mergeCell ref="A583:G583"/>
    <mergeCell ref="A585:G585"/>
    <mergeCell ref="A593:G593"/>
    <mergeCell ref="A595:G595"/>
    <mergeCell ref="A603:G603"/>
    <mergeCell ref="A605:G605"/>
    <mergeCell ref="A606:G606"/>
    <mergeCell ref="A612:G612"/>
    <mergeCell ref="A617:G617"/>
    <mergeCell ref="A619:G619"/>
    <mergeCell ref="A620:G620"/>
    <mergeCell ref="A639:G639"/>
    <mergeCell ref="A640:G640"/>
    <mergeCell ref="A654:G654"/>
    <mergeCell ref="A657:G657"/>
    <mergeCell ref="A658:G658"/>
    <mergeCell ref="A683:G683"/>
    <mergeCell ref="A685:G685"/>
    <mergeCell ref="A686:G686"/>
    <mergeCell ref="A691:G691"/>
    <mergeCell ref="A702:G702"/>
    <mergeCell ref="A703:G703"/>
    <mergeCell ref="A704:G704"/>
    <mergeCell ref="A705:G705"/>
    <mergeCell ref="A715:G715"/>
    <mergeCell ref="A718:G718"/>
    <mergeCell ref="A722:G722"/>
    <mergeCell ref="A733:G733"/>
    <mergeCell ref="A734:G734"/>
    <mergeCell ref="A742:G742"/>
    <mergeCell ref="A744:G744"/>
    <mergeCell ref="A764:G764"/>
    <mergeCell ref="A765:G765"/>
    <mergeCell ref="A796:G796"/>
    <mergeCell ref="A802:G802"/>
    <mergeCell ref="A803:G803"/>
    <mergeCell ref="A813:G813"/>
    <mergeCell ref="A838:G838"/>
    <mergeCell ref="A839:G839"/>
    <mergeCell ref="A846:G846"/>
    <mergeCell ref="A851:G851"/>
    <mergeCell ref="A875:G875"/>
    <mergeCell ref="A876:G876"/>
    <mergeCell ref="A878:G878"/>
    <mergeCell ref="A880:G880"/>
    <mergeCell ref="A881:G881"/>
    <mergeCell ref="A951:G951"/>
    <mergeCell ref="A961:G961"/>
    <mergeCell ref="A972:G972"/>
    <mergeCell ref="A991:G991"/>
    <mergeCell ref="A1047:G1047"/>
    <mergeCell ref="A1054:G1054"/>
    <mergeCell ref="A1055:G1055"/>
    <mergeCell ref="A1056:G1056"/>
    <mergeCell ref="A1078:G1078"/>
    <mergeCell ref="A1079:G1079"/>
    <mergeCell ref="A1135:G1135"/>
    <mergeCell ref="A1235:G1235"/>
    <mergeCell ref="A1300:G1300"/>
    <mergeCell ref="A1303:G1303"/>
    <mergeCell ref="A1306:G1306"/>
    <mergeCell ref="A1307:G1307"/>
    <mergeCell ref="A1318:G1318"/>
    <mergeCell ref="A1322:G1322"/>
    <mergeCell ref="A1323:G1323"/>
    <mergeCell ref="A1329:G1329"/>
    <mergeCell ref="A1334:G1334"/>
    <mergeCell ref="A1344:G1344"/>
    <mergeCell ref="A1346:G1346"/>
    <mergeCell ref="A1347:G1347"/>
    <mergeCell ref="A1358:G1358"/>
    <mergeCell ref="A1361:G1361"/>
    <mergeCell ref="A1362:G1362"/>
    <mergeCell ref="A1368:G1368"/>
    <mergeCell ref="A1374:G1374"/>
    <mergeCell ref="A1376:G1376"/>
    <mergeCell ref="A1380:G1380"/>
    <mergeCell ref="A1381:G1381"/>
    <mergeCell ref="A1417:G1417"/>
    <mergeCell ref="A1418:G1418"/>
    <mergeCell ref="A1436:G1436"/>
    <mergeCell ref="A1443:G1443"/>
    <mergeCell ref="A1444:G1444"/>
    <mergeCell ref="A1445:G1445"/>
    <mergeCell ref="A1452:G1452"/>
    <mergeCell ref="A1483:G1483"/>
    <mergeCell ref="A1497:G1497"/>
    <mergeCell ref="A1499:G1499"/>
    <mergeCell ref="A1502:G1502"/>
    <mergeCell ref="A1512:G1512"/>
    <mergeCell ref="A1528:G1528"/>
    <mergeCell ref="A1564:G1564"/>
    <mergeCell ref="A1582:G1582"/>
    <mergeCell ref="A1584:G1584"/>
    <mergeCell ref="A1585:G1585"/>
    <mergeCell ref="A1598:G1598"/>
    <mergeCell ref="A1614:G1614"/>
    <mergeCell ref="A1619:G1619"/>
    <mergeCell ref="A1622:G1622"/>
    <mergeCell ref="A1646:G1646"/>
    <mergeCell ref="A1670:G1670"/>
    <mergeCell ref="A1694:G1694"/>
    <mergeCell ref="A1697:G1697"/>
    <mergeCell ref="A1698:G1698"/>
    <mergeCell ref="A1710:G1710"/>
    <mergeCell ref="A1712:G1712"/>
    <mergeCell ref="A1716:G1716"/>
    <mergeCell ref="A1718:G1718"/>
    <mergeCell ref="A1728:G1728"/>
    <mergeCell ref="A1732:G1732"/>
    <mergeCell ref="A1733:G1733"/>
    <mergeCell ref="A1736:G1736"/>
    <mergeCell ref="A1739:G1739"/>
    <mergeCell ref="A1749:G1749"/>
    <mergeCell ref="A1750:G1750"/>
    <mergeCell ref="A1763:G1763"/>
    <mergeCell ref="A1874:G1874"/>
    <mergeCell ref="A1875:G1875"/>
    <mergeCell ref="A1876:G1876"/>
    <mergeCell ref="A1886:G1886"/>
    <mergeCell ref="A1889:G1889"/>
    <mergeCell ref="A1891:G1891"/>
    <mergeCell ref="A1900:G1900"/>
    <mergeCell ref="A1909:G1909"/>
    <mergeCell ref="A1919:G1919"/>
    <mergeCell ref="A1936:G1936"/>
    <mergeCell ref="A1937:G1937"/>
    <mergeCell ref="A1957:G1957"/>
    <mergeCell ref="A2026:G2026"/>
    <mergeCell ref="A2027:G2027"/>
    <mergeCell ref="A2033:G2033"/>
    <mergeCell ref="A2064:G2064"/>
    <mergeCell ref="A2090:G2090"/>
    <mergeCell ref="A2093:G2093"/>
    <mergeCell ref="A2107:G2107"/>
    <mergeCell ref="A2108:G2108"/>
    <mergeCell ref="A2116:G2116"/>
    <mergeCell ref="A2118:G2118"/>
    <mergeCell ref="A2122:G2122"/>
    <mergeCell ref="A2123:G2123"/>
    <mergeCell ref="A2125:G2125"/>
    <mergeCell ref="A2128:G2128"/>
    <mergeCell ref="A2153:G2153"/>
    <mergeCell ref="A2175:G2175"/>
    <mergeCell ref="A2186:G2186"/>
    <mergeCell ref="A2187:G2187"/>
    <mergeCell ref="A2196:G2196"/>
    <mergeCell ref="A2203:G2203"/>
    <mergeCell ref="A2206:G2206"/>
    <mergeCell ref="A2225:G2225"/>
    <mergeCell ref="A2227:G2227"/>
    <mergeCell ref="A2231:G2231"/>
    <mergeCell ref="A2263:G2263"/>
    <mergeCell ref="A2269:G2269"/>
    <mergeCell ref="A2288:G2288"/>
    <mergeCell ref="A2295:G2295"/>
    <mergeCell ref="A2330:G2330"/>
    <mergeCell ref="A2333:G2333"/>
    <mergeCell ref="A2337:G2337"/>
    <mergeCell ref="A2349:G2349"/>
    <mergeCell ref="A2365:G2365"/>
    <mergeCell ref="A2367:G2367"/>
    <mergeCell ref="A2371:G2371"/>
    <mergeCell ref="A2377:G2377"/>
    <mergeCell ref="A2380:G2380"/>
    <mergeCell ref="A2395:G2395"/>
    <mergeCell ref="A2415:G2415"/>
    <mergeCell ref="A2416:G2416"/>
    <mergeCell ref="A2417:G2417"/>
    <mergeCell ref="A2421:G2421"/>
    <mergeCell ref="A2426:G2426"/>
    <mergeCell ref="A2436:G2436"/>
    <mergeCell ref="A2437:G2437"/>
    <mergeCell ref="A2448:G2448"/>
    <mergeCell ref="A2449:G2449"/>
    <mergeCell ref="A2450:G2450"/>
    <mergeCell ref="A2459:G2459"/>
    <mergeCell ref="A2468:G2468"/>
    <mergeCell ref="A2471:G2471"/>
    <mergeCell ref="A2481:G2481"/>
    <mergeCell ref="A2490:G2490"/>
    <mergeCell ref="A2491:G2491"/>
    <mergeCell ref="A2507:G2507"/>
    <mergeCell ref="A2509:G2509"/>
    <mergeCell ref="A2521:G2521"/>
    <mergeCell ref="A2527:G2527"/>
    <mergeCell ref="A2528:G2528"/>
    <mergeCell ref="A2529:G2529"/>
    <mergeCell ref="A2538:G2538"/>
    <mergeCell ref="A2552:G2552"/>
    <mergeCell ref="A2553:G2553"/>
    <mergeCell ref="A2556:G2556"/>
    <mergeCell ref="A2560:G2560"/>
    <mergeCell ref="A2564:G2564"/>
    <mergeCell ref="A2581:G2581"/>
    <mergeCell ref="A2582:G2582"/>
    <mergeCell ref="A2585:G2585"/>
    <mergeCell ref="A2598:G2598"/>
    <mergeCell ref="A2604:G2604"/>
    <mergeCell ref="A2605:G2605"/>
    <mergeCell ref="A2624:G2624"/>
    <mergeCell ref="A2640:G2640"/>
    <mergeCell ref="A2642:G2642"/>
    <mergeCell ref="A2643:G2643"/>
    <mergeCell ref="A2644:G2644"/>
    <mergeCell ref="A2654:G2654"/>
    <mergeCell ref="A2662:G2662"/>
    <mergeCell ref="A2670:G2670"/>
    <mergeCell ref="A2677:G2677"/>
    <mergeCell ref="A2693:G2693"/>
    <mergeCell ref="A2694:G2694"/>
    <mergeCell ref="A2698:G2698"/>
    <mergeCell ref="A2704:G2704"/>
    <mergeCell ref="A2709:G2709"/>
    <mergeCell ref="A2710:G2710"/>
    <mergeCell ref="A2718:G2718"/>
    <mergeCell ref="A2732:G2732"/>
    <mergeCell ref="A2744:G2744"/>
    <mergeCell ref="A2747:G2747"/>
    <mergeCell ref="A2756:G2756"/>
    <mergeCell ref="A2778:G2778"/>
    <mergeCell ref="A2779:G2779"/>
    <mergeCell ref="A2785:G2785"/>
    <mergeCell ref="A2797:G2797"/>
    <mergeCell ref="A2800:G2800"/>
    <mergeCell ref="A2803:G2803"/>
    <mergeCell ref="A2815:G2815"/>
    <mergeCell ref="A2816:G2816"/>
    <mergeCell ref="A2818:G2818"/>
    <mergeCell ref="A2840:G2840"/>
    <mergeCell ref="A2841:G2841"/>
    <mergeCell ref="A2842:G2842"/>
    <mergeCell ref="A2847:G2847"/>
    <mergeCell ref="A2850:G2850"/>
    <mergeCell ref="A2851:G2851"/>
    <mergeCell ref="A2854:G2854"/>
    <mergeCell ref="A2855:G2855"/>
    <mergeCell ref="A2866:G2866"/>
    <mergeCell ref="A2877:G2877"/>
    <mergeCell ref="A2883:G2883"/>
    <mergeCell ref="A2887:G2887"/>
    <mergeCell ref="A2890:G2890"/>
    <mergeCell ref="A2895:G2895"/>
    <mergeCell ref="A2899:G2899"/>
    <mergeCell ref="A2900:G2900"/>
    <mergeCell ref="A2901:G2901"/>
    <mergeCell ref="A2905:G2905"/>
    <mergeCell ref="A2911:G2911"/>
    <mergeCell ref="A2912:G2912"/>
    <mergeCell ref="A2938:G2938"/>
    <mergeCell ref="A2940:G2940"/>
    <mergeCell ref="A2943:G2943"/>
    <mergeCell ref="A2954:G2954"/>
    <mergeCell ref="A2966:G2966"/>
    <mergeCell ref="A2974:G2974"/>
    <mergeCell ref="A2976:G2976"/>
    <mergeCell ref="A2977:G2977"/>
    <mergeCell ref="A2979:G2979"/>
    <mergeCell ref="A2980:G2980"/>
    <mergeCell ref="A2981:G2981"/>
    <mergeCell ref="A2986:G2986"/>
    <mergeCell ref="A2992:G2992"/>
    <mergeCell ref="A3001:G3001"/>
    <mergeCell ref="A3002:G3002"/>
    <mergeCell ref="A3005:G3005"/>
    <mergeCell ref="A3011:G3011"/>
    <mergeCell ref="A3025:G3025"/>
    <mergeCell ref="A3026:G3026"/>
    <mergeCell ref="A3028:G3028"/>
    <mergeCell ref="A3031:G3031"/>
    <mergeCell ref="A3046:G3046"/>
    <mergeCell ref="A3054:G3054"/>
    <mergeCell ref="A3055:G3055"/>
    <mergeCell ref="A3075:G3075"/>
    <mergeCell ref="A3092:G3092"/>
    <mergeCell ref="A3099:G3099"/>
    <mergeCell ref="A3108:G3108"/>
    <mergeCell ref="A3111:G3111"/>
    <mergeCell ref="A3113:G3113"/>
    <mergeCell ref="A3119:G3119"/>
    <mergeCell ref="A3120:G3120"/>
    <mergeCell ref="A3128:G3128"/>
    <mergeCell ref="A3129:G3129"/>
    <mergeCell ref="A3141:G3141"/>
    <mergeCell ref="A3145:G3145"/>
    <mergeCell ref="A3158:G3158"/>
    <mergeCell ref="A3163:G3163"/>
    <mergeCell ref="A3166:G3166"/>
    <mergeCell ref="A3171:G3171"/>
    <mergeCell ref="A3175:G3175"/>
    <mergeCell ref="A3187:G3187"/>
    <mergeCell ref="A3204:G3204"/>
    <mergeCell ref="A3212:G3212"/>
    <mergeCell ref="A3222:G3222"/>
    <mergeCell ref="A3229:G3229"/>
    <mergeCell ref="A3237:G3237"/>
    <mergeCell ref="A3239:G3239"/>
    <mergeCell ref="A3242:G3242"/>
    <mergeCell ref="A3253:G3253"/>
    <mergeCell ref="A3271:G3271"/>
    <mergeCell ref="A3278:G3278"/>
    <mergeCell ref="A3284:G3284"/>
    <mergeCell ref="A3285:G3285"/>
    <mergeCell ref="A3299:G3299"/>
    <mergeCell ref="A3300:G3300"/>
    <mergeCell ref="A3305:G3305"/>
    <mergeCell ref="A3310:G3310"/>
    <mergeCell ref="A3311:G3311"/>
    <mergeCell ref="A3314:G3314"/>
    <mergeCell ref="A3318:G3318"/>
    <mergeCell ref="A3325:G3325"/>
    <mergeCell ref="A3331:G3331"/>
    <mergeCell ref="A3339:G3339"/>
    <mergeCell ref="A3344:G3344"/>
    <mergeCell ref="A3346:G3346"/>
    <mergeCell ref="A3362:G3362"/>
    <mergeCell ref="A3379:G3379"/>
    <mergeCell ref="A3391:G3391"/>
    <mergeCell ref="A3404:G3404"/>
    <mergeCell ref="A3453:G3453"/>
    <mergeCell ref="A3454:G3454"/>
    <mergeCell ref="A3455:G3455"/>
    <mergeCell ref="A3480:G3480"/>
    <mergeCell ref="A3490:G3490"/>
    <mergeCell ref="A3494:G3494"/>
    <mergeCell ref="A3503:G3503"/>
    <mergeCell ref="A3506:G3506"/>
    <mergeCell ref="A3508:G3508"/>
    <mergeCell ref="A3512:G3512"/>
    <mergeCell ref="A3513:G3513"/>
    <mergeCell ref="A3514:G3514"/>
    <mergeCell ref="A3517:G3517"/>
    <mergeCell ref="A3519:G3519"/>
    <mergeCell ref="A3521:G3521"/>
    <mergeCell ref="A3526:G3526"/>
    <mergeCell ref="A3530:G3530"/>
    <mergeCell ref="A3531:G3531"/>
    <mergeCell ref="A3545:G3545"/>
    <mergeCell ref="A3548:G3548"/>
    <mergeCell ref="A3552:G3552"/>
    <mergeCell ref="A3561:G3561"/>
    <mergeCell ref="A3564:G3564"/>
    <mergeCell ref="A3572:G3572"/>
    <mergeCell ref="A3577:G3577"/>
    <mergeCell ref="A3591:G3591"/>
    <mergeCell ref="A3592:G3592"/>
    <mergeCell ref="A3596:G3596"/>
    <mergeCell ref="A3610:G3610"/>
    <mergeCell ref="A3616:G3616"/>
    <mergeCell ref="A3622:G3622"/>
    <mergeCell ref="A3640:G3640"/>
    <mergeCell ref="A3641:G3641"/>
    <mergeCell ref="A3649:G3649"/>
    <mergeCell ref="A3658:G3658"/>
    <mergeCell ref="A3667:G3667"/>
    <mergeCell ref="A3676:G3676"/>
    <mergeCell ref="A3692:G3692"/>
    <mergeCell ref="A3710:G3710"/>
    <mergeCell ref="A3713:G3713"/>
    <mergeCell ref="A3721:G3721"/>
    <mergeCell ref="A3723:G3723"/>
    <mergeCell ref="A3727:G3727"/>
    <mergeCell ref="A3729:G3729"/>
    <mergeCell ref="A3745:G3745"/>
    <mergeCell ref="A3751:G3751"/>
    <mergeCell ref="A3752:G3752"/>
    <mergeCell ref="A3761:G3761"/>
    <mergeCell ref="A3771:G3771"/>
    <mergeCell ref="A3774:G3774"/>
    <mergeCell ref="A3778:G3778"/>
    <mergeCell ref="A3785:G3785"/>
    <mergeCell ref="A3788:G3788"/>
    <mergeCell ref="A3789:G3789"/>
    <mergeCell ref="A3792:G3792"/>
    <mergeCell ref="A3800:G3800"/>
    <mergeCell ref="A3807:G3807"/>
    <mergeCell ref="A3808:G3808"/>
    <mergeCell ref="A3809:G3809"/>
    <mergeCell ref="A3828:G3828"/>
    <mergeCell ref="A3856:G3856"/>
    <mergeCell ref="A3860:G3860"/>
    <mergeCell ref="A3870:G3870"/>
    <mergeCell ref="A3878:G3878"/>
    <mergeCell ref="A3910:G3910"/>
    <mergeCell ref="A3943:G3943"/>
    <mergeCell ref="A3944:G3944"/>
    <mergeCell ref="A3951:G3951"/>
    <mergeCell ref="A3953:G3953"/>
    <mergeCell ref="A3960:G3960"/>
    <mergeCell ref="A3961:G3961"/>
    <mergeCell ref="A4011:G4011"/>
    <mergeCell ref="A4052:G4052"/>
    <mergeCell ref="A4069:G4069"/>
    <mergeCell ref="A4090:G4090"/>
    <mergeCell ref="A4104:G4104"/>
    <mergeCell ref="A4121:G4121"/>
    <mergeCell ref="A4141:G4141"/>
    <mergeCell ref="A4221:G4221"/>
    <mergeCell ref="A4222:G4222"/>
    <mergeCell ref="A4265:G4265"/>
    <mergeCell ref="A4268:G4268"/>
    <mergeCell ref="A4269:G4269"/>
    <mergeCell ref="A4279:G4279"/>
    <mergeCell ref="A4377:G4377"/>
    <mergeCell ref="A4381:G4381"/>
    <mergeCell ref="A4385:G4385"/>
    <mergeCell ref="A4386:G4386"/>
    <mergeCell ref="A4396:G4396"/>
    <mergeCell ref="A4423:G4423"/>
    <mergeCell ref="A4426:G4426"/>
    <mergeCell ref="A4430:G4430"/>
    <mergeCell ref="A4431:G4431"/>
    <mergeCell ref="A4432:G4432"/>
    <mergeCell ref="A4438:G4438"/>
    <mergeCell ref="A4440:G4440"/>
    <mergeCell ref="A4474:G4474"/>
    <mergeCell ref="A4481:G4481"/>
    <mergeCell ref="A4497:G4497"/>
    <mergeCell ref="A4502:G4502"/>
    <mergeCell ref="A4506:G4506"/>
    <mergeCell ref="A4509:G4509"/>
    <mergeCell ref="A4512:G4512"/>
    <mergeCell ref="A4517:G4517"/>
    <mergeCell ref="A4523:G4523"/>
    <mergeCell ref="A4524:G4524"/>
    <mergeCell ref="A4541:G4541"/>
    <mergeCell ref="A4573:G4573"/>
    <mergeCell ref="A4580:G4580"/>
    <mergeCell ref="A4582:G4582"/>
    <mergeCell ref="A4589:G4589"/>
    <mergeCell ref="A4640:G4640"/>
    <mergeCell ref="A4641:G4641"/>
    <mergeCell ref="A4643:G4643"/>
    <mergeCell ref="A4652:G4652"/>
    <mergeCell ref="A4658:G4658"/>
    <mergeCell ref="A4662:G4662"/>
    <mergeCell ref="A4668:G4668"/>
    <mergeCell ref="A4675:G4675"/>
    <mergeCell ref="A4696:G4696"/>
    <mergeCell ref="A4699:G4699"/>
    <mergeCell ref="A4704:G4704"/>
    <mergeCell ref="A4705:G4705"/>
    <mergeCell ref="A4750:G4750"/>
    <mergeCell ref="A4764:G4764"/>
    <mergeCell ref="A4768:G4768"/>
    <mergeCell ref="A4772:G4772"/>
    <mergeCell ref="A4773:G4773"/>
    <mergeCell ref="A4783:G4783"/>
    <mergeCell ref="A4784:G4784"/>
    <mergeCell ref="A4852:G4852"/>
    <mergeCell ref="A4898:G4898"/>
    <mergeCell ref="A5025:G5025"/>
    <mergeCell ref="A5030:G5030"/>
    <mergeCell ref="A5040:G5040"/>
    <mergeCell ref="A5041:G5041"/>
    <mergeCell ref="A5046:G5046"/>
    <mergeCell ref="A5063:G5063"/>
    <mergeCell ref="A5065:G5065"/>
    <mergeCell ref="A5066:G5066"/>
    <mergeCell ref="A5278:G5278"/>
    <mergeCell ref="A5314:G5314"/>
    <mergeCell ref="A5321:G5321"/>
    <mergeCell ref="A5332:G5332"/>
    <mergeCell ref="A5333:G5333"/>
    <mergeCell ref="A5334:G5334"/>
    <mergeCell ref="A5363:G5363"/>
    <mergeCell ref="A5377:G5377"/>
    <mergeCell ref="A5395:G5395"/>
    <mergeCell ref="A5396:G5396"/>
    <mergeCell ref="A5444:G5444"/>
    <mergeCell ref="A5516:G5516"/>
    <mergeCell ref="A5523:G5523"/>
    <mergeCell ref="A5541:G5541"/>
    <mergeCell ref="A5564:G5564"/>
    <mergeCell ref="A5569:G5569"/>
    <mergeCell ref="A5586:G5586"/>
    <mergeCell ref="A5611:G5611"/>
    <mergeCell ref="A5613:G5613"/>
    <mergeCell ref="A5630:G5630"/>
    <mergeCell ref="A5631:G5631"/>
    <mergeCell ref="A5659:G5659"/>
    <mergeCell ref="A5675:G5675"/>
    <mergeCell ref="A5676:G5676"/>
    <mergeCell ref="A5685:G5685"/>
    <mergeCell ref="A5686:G5686"/>
    <mergeCell ref="A5691:G5691"/>
    <mergeCell ref="A5695:G5695"/>
    <mergeCell ref="A5698:G5698"/>
    <mergeCell ref="A5729:G5729"/>
    <mergeCell ref="A5734:G5734"/>
    <mergeCell ref="A5736:G5736"/>
    <mergeCell ref="A5755:G5755"/>
    <mergeCell ref="A5787:G5787"/>
    <mergeCell ref="A5819:G5819"/>
    <mergeCell ref="A5821:G5821"/>
    <mergeCell ref="A5826:G5826"/>
    <mergeCell ref="A5835:G5835"/>
    <mergeCell ref="A5837:G5837"/>
    <mergeCell ref="A5842:G5842"/>
    <mergeCell ref="A5843:G5843"/>
    <mergeCell ref="A5844:G5844"/>
    <mergeCell ref="A5869:G5869"/>
    <mergeCell ref="A5874:G5874"/>
    <mergeCell ref="A5875:G5875"/>
    <mergeCell ref="A5880:G5880"/>
    <mergeCell ref="A5884:G5884"/>
    <mergeCell ref="A5885:G5885"/>
    <mergeCell ref="A5902:G5902"/>
    <mergeCell ref="A5904:G5904"/>
    <mergeCell ref="A5907:G5907"/>
    <mergeCell ref="A5918:G5918"/>
    <mergeCell ref="A5919:G5919"/>
    <mergeCell ref="A5922:G5922"/>
    <mergeCell ref="A5923:G5923"/>
    <mergeCell ref="A5926:G5926"/>
    <mergeCell ref="A5939:G5939"/>
    <mergeCell ref="A5944:G5944"/>
    <mergeCell ref="A5945:G5945"/>
    <mergeCell ref="A5973:G5973"/>
    <mergeCell ref="A5983:G5983"/>
    <mergeCell ref="A5989:G5989"/>
    <mergeCell ref="A5991:G5991"/>
    <mergeCell ref="A5992:G5992"/>
    <mergeCell ref="A6004:G6004"/>
    <mergeCell ref="A6007:G6007"/>
    <mergeCell ref="A6011:G6011"/>
    <mergeCell ref="A6012:G6012"/>
    <mergeCell ref="A6015:G6015"/>
    <mergeCell ref="A6018:G6018"/>
    <mergeCell ref="A6021:G6021"/>
    <mergeCell ref="A6022:G6022"/>
    <mergeCell ref="A6023:G6023"/>
    <mergeCell ref="A6026:G6026"/>
    <mergeCell ref="A6031:G6031"/>
    <mergeCell ref="A6036:G6036"/>
    <mergeCell ref="A6037:G6037"/>
    <mergeCell ref="A6041:G6041"/>
    <mergeCell ref="A6043:G6043"/>
    <mergeCell ref="A6045:G6045"/>
    <mergeCell ref="A6049:G6049"/>
    <mergeCell ref="A6053:G6053"/>
    <mergeCell ref="A6054:G6054"/>
    <mergeCell ref="A6057:G6057"/>
    <mergeCell ref="A6068:G6068"/>
    <mergeCell ref="A6071:G6071"/>
    <mergeCell ref="A6075:G6075"/>
    <mergeCell ref="A6081:G6081"/>
    <mergeCell ref="A6083:G6083"/>
    <mergeCell ref="A6095:G6095"/>
    <mergeCell ref="A6099:G6099"/>
    <mergeCell ref="A6107:G6107"/>
    <mergeCell ref="A6119:G6119"/>
    <mergeCell ref="A6120:G6120"/>
    <mergeCell ref="A6122:G6122"/>
    <mergeCell ref="A6154:G6154"/>
    <mergeCell ref="A6165:G6165"/>
    <mergeCell ref="A6168:G6168"/>
    <mergeCell ref="A6172:G6172"/>
    <mergeCell ref="A6177:G6177"/>
    <mergeCell ref="A6178:G6178"/>
    <mergeCell ref="A6180:G6180"/>
    <mergeCell ref="A6183:G6183"/>
    <mergeCell ref="A6188:G6188"/>
    <mergeCell ref="A6189:G6189"/>
    <mergeCell ref="A6204:G6204"/>
    <mergeCell ref="A6226:G6226"/>
    <mergeCell ref="A6280:G6280"/>
    <mergeCell ref="A6282:G6282"/>
    <mergeCell ref="A6312:G6312"/>
    <mergeCell ref="A6347:G6347"/>
    <mergeCell ref="A6392:G6392"/>
    <mergeCell ref="A6395:G6395"/>
    <mergeCell ref="A6397:G6397"/>
    <mergeCell ref="A6398:G6398"/>
    <mergeCell ref="A6408:G6408"/>
    <mergeCell ref="A6409:G6409"/>
    <mergeCell ref="A6413:G6413"/>
    <mergeCell ref="A6416:G6416"/>
    <mergeCell ref="A6419:G6419"/>
    <mergeCell ref="A6420:G6420"/>
    <mergeCell ref="A6451:G6451"/>
    <mergeCell ref="A6453:G6453"/>
    <mergeCell ref="A6463:G6463"/>
    <mergeCell ref="A6479:G6479"/>
    <mergeCell ref="A6480:G6480"/>
    <mergeCell ref="A6505:G6505"/>
    <mergeCell ref="A6510:G6510"/>
    <mergeCell ref="A6545:G6545"/>
    <mergeCell ref="A6556:G6556"/>
    <mergeCell ref="A6557:G6557"/>
    <mergeCell ref="A6567:G6567"/>
    <mergeCell ref="A6568:G6568"/>
    <mergeCell ref="A6573:G6573"/>
    <mergeCell ref="A6601:G6601"/>
    <mergeCell ref="A6605:G6605"/>
    <mergeCell ref="A6606:G6606"/>
    <mergeCell ref="A6608:G6608"/>
    <mergeCell ref="A6652:G6652"/>
    <mergeCell ref="A6654:G6654"/>
    <mergeCell ref="A6655:G6655"/>
    <mergeCell ref="A6660:G6660"/>
    <mergeCell ref="A6661:G6661"/>
    <mergeCell ref="A6665:G6665"/>
    <mergeCell ref="A6666:G6666"/>
    <mergeCell ref="A6668:G6668"/>
    <mergeCell ref="A6670:G6670"/>
    <mergeCell ref="A6696:G6696"/>
    <mergeCell ref="A6704:G6704"/>
    <mergeCell ref="A6712:G6712"/>
    <mergeCell ref="A6713:G6713"/>
    <mergeCell ref="A6716:G6716"/>
    <mergeCell ref="A6721:G6721"/>
    <mergeCell ref="A6722:G6722"/>
    <mergeCell ref="A6723:G6723"/>
    <mergeCell ref="A6726:G6726"/>
    <mergeCell ref="A6728:G6728"/>
    <mergeCell ref="A6732:G6732"/>
    <mergeCell ref="A6736:G6736"/>
    <mergeCell ref="A6739:G6739"/>
    <mergeCell ref="A6741:G6741"/>
    <mergeCell ref="A6756:G6756"/>
    <mergeCell ref="A6761:G6761"/>
    <mergeCell ref="A6763:G6763"/>
    <mergeCell ref="A6769:G6769"/>
    <mergeCell ref="A6772:G6772"/>
    <mergeCell ref="A6775:G6775"/>
    <mergeCell ref="A6782:G6782"/>
    <mergeCell ref="A6784:G6784"/>
    <mergeCell ref="A6793:G6793"/>
    <mergeCell ref="A6794:G6794"/>
    <mergeCell ref="A6796:G6796"/>
    <mergeCell ref="A6801:G6801"/>
    <mergeCell ref="A6807:G6807"/>
    <mergeCell ref="A6808:G6808"/>
    <mergeCell ref="A6815:G6815"/>
    <mergeCell ref="A6829:G6829"/>
    <mergeCell ref="A6830:G6830"/>
    <mergeCell ref="A6831:G6831"/>
    <mergeCell ref="A6853:G6853"/>
    <mergeCell ref="A6862:G6862"/>
    <mergeCell ref="A6880:G6880"/>
    <mergeCell ref="A6896:G6896"/>
    <mergeCell ref="A6910:G6910"/>
    <mergeCell ref="A6912:G6912"/>
    <mergeCell ref="A6914:G6914"/>
    <mergeCell ref="A6925:G6925"/>
    <mergeCell ref="A6936:G6936"/>
    <mergeCell ref="A6937:G6937"/>
    <mergeCell ref="A6945:G6945"/>
    <mergeCell ref="A6947:G6947"/>
    <mergeCell ref="A6957:G6957"/>
    <mergeCell ref="A6969:G6969"/>
    <mergeCell ref="A6972:G6972"/>
    <mergeCell ref="A6978:G6978"/>
    <mergeCell ref="A6982:G6982"/>
    <mergeCell ref="A6993:G6993"/>
    <mergeCell ref="A7005:G7005"/>
    <mergeCell ref="A7016:G7016"/>
    <mergeCell ref="A7022:G7022"/>
    <mergeCell ref="A7025:G7025"/>
    <mergeCell ref="A7034:G7034"/>
    <mergeCell ref="A7035:G7035"/>
    <mergeCell ref="A7043:G7043"/>
    <mergeCell ref="A7044:G7044"/>
    <mergeCell ref="A7049:G7049"/>
    <mergeCell ref="A7062:G7062"/>
    <mergeCell ref="A7063:G7063"/>
    <mergeCell ref="A7077:G7077"/>
    <mergeCell ref="A7078:G7078"/>
    <mergeCell ref="A7105:G7105"/>
    <mergeCell ref="A7118:G7118"/>
    <mergeCell ref="A7202:G7202"/>
    <mergeCell ref="A7223:G7223"/>
    <mergeCell ref="A7247:G7247"/>
    <mergeCell ref="A7248:G7248"/>
    <mergeCell ref="A7279:G7279"/>
    <mergeCell ref="A7287:G7287"/>
    <mergeCell ref="A7290:G7290"/>
    <mergeCell ref="A7297:G7297"/>
    <mergeCell ref="A7298:G7298"/>
    <mergeCell ref="A7311:G7311"/>
    <mergeCell ref="A7312:G7312"/>
    <mergeCell ref="A7321:G7321"/>
    <mergeCell ref="A7326:G7326"/>
    <mergeCell ref="A7333:G7333"/>
    <mergeCell ref="A7371:G7371"/>
    <mergeCell ref="A7380:G7380"/>
    <mergeCell ref="A7386:G7386"/>
    <mergeCell ref="A7387:G7387"/>
    <mergeCell ref="A7389:G7389"/>
    <mergeCell ref="A7390:G7390"/>
    <mergeCell ref="A7392:G7392"/>
    <mergeCell ref="A7394:G7394"/>
    <mergeCell ref="A7401:G7401"/>
    <mergeCell ref="A7404:G7404"/>
    <mergeCell ref="A7407:G7407"/>
    <mergeCell ref="A7411:G7411"/>
    <mergeCell ref="A7414:G7414"/>
    <mergeCell ref="A7419:G7419"/>
    <mergeCell ref="A7420:G7420"/>
    <mergeCell ref="A7423:G7423"/>
    <mergeCell ref="A7438:G7438"/>
    <mergeCell ref="A7446:G7446"/>
    <mergeCell ref="A7449:G7449"/>
    <mergeCell ref="A7451:G7451"/>
    <mergeCell ref="A7452:G7452"/>
    <mergeCell ref="A7461:G7461"/>
    <mergeCell ref="A7467:G7467"/>
    <mergeCell ref="A7469:G7469"/>
    <mergeCell ref="A7471:G7471"/>
    <mergeCell ref="A7473:G7473"/>
    <mergeCell ref="A7477:G7477"/>
    <mergeCell ref="A7478:G7478"/>
    <mergeCell ref="A7482:G7482"/>
    <mergeCell ref="A7489:G7489"/>
    <mergeCell ref="A7491:G7491"/>
    <mergeCell ref="A7498:G7498"/>
    <mergeCell ref="A7502:G7502"/>
    <mergeCell ref="A7506:G7506"/>
    <mergeCell ref="A7510:G7510"/>
    <mergeCell ref="A7511:G7511"/>
    <mergeCell ref="A7544:G7544"/>
    <mergeCell ref="A7560:G7560"/>
    <mergeCell ref="A7563:G7563"/>
    <mergeCell ref="A7565:G7565"/>
    <mergeCell ref="A7567:G7567"/>
    <mergeCell ref="A7569:G7569"/>
    <mergeCell ref="A7571:G7571"/>
    <mergeCell ref="A7572:G7572"/>
    <mergeCell ref="A7575:G7575"/>
    <mergeCell ref="A7578:G7578"/>
    <mergeCell ref="A7587:G7587"/>
    <mergeCell ref="A7591:G7591"/>
    <mergeCell ref="A7592:G7592"/>
    <mergeCell ref="A7598:G7598"/>
    <mergeCell ref="A7606:G7606"/>
    <mergeCell ref="A7607:G7607"/>
    <mergeCell ref="A7610:G7610"/>
    <mergeCell ref="A7620:G7620"/>
    <mergeCell ref="A7621:G7621"/>
    <mergeCell ref="A7624:G7624"/>
    <mergeCell ref="A7640:G7640"/>
  </mergeCell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  <hyperlink ref="D30" r:id="rId_hyperlink_14"/>
    <hyperlink ref="D31" r:id="rId_hyperlink_15"/>
    <hyperlink ref="D32" r:id="rId_hyperlink_16"/>
    <hyperlink ref="D33" r:id="rId_hyperlink_17"/>
    <hyperlink ref="D34" r:id="rId_hyperlink_18"/>
    <hyperlink ref="D35" r:id="rId_hyperlink_19"/>
    <hyperlink ref="D36" r:id="rId_hyperlink_20"/>
    <hyperlink ref="D37" r:id="rId_hyperlink_21"/>
    <hyperlink ref="D38" r:id="rId_hyperlink_22"/>
    <hyperlink ref="D39" r:id="rId_hyperlink_23"/>
    <hyperlink ref="D40" r:id="rId_hyperlink_24"/>
    <hyperlink ref="D41" r:id="rId_hyperlink_25"/>
    <hyperlink ref="D42" r:id="rId_hyperlink_26"/>
    <hyperlink ref="D43" r:id="rId_hyperlink_27"/>
    <hyperlink ref="D44" r:id="rId_hyperlink_28"/>
    <hyperlink ref="D45" r:id="rId_hyperlink_29"/>
    <hyperlink ref="D46" r:id="rId_hyperlink_30"/>
    <hyperlink ref="D47" r:id="rId_hyperlink_31"/>
    <hyperlink ref="D48" r:id="rId_hyperlink_32"/>
    <hyperlink ref="D49" r:id="rId_hyperlink_33"/>
    <hyperlink ref="D50" r:id="rId_hyperlink_34"/>
    <hyperlink ref="D51" r:id="rId_hyperlink_35"/>
    <hyperlink ref="D52" r:id="rId_hyperlink_36"/>
    <hyperlink ref="D53" r:id="rId_hyperlink_37"/>
    <hyperlink ref="D54" r:id="rId_hyperlink_38"/>
    <hyperlink ref="D55" r:id="rId_hyperlink_39"/>
    <hyperlink ref="D56" r:id="rId_hyperlink_40"/>
    <hyperlink ref="D57" r:id="rId_hyperlink_41"/>
    <hyperlink ref="D58" r:id="rId_hyperlink_42"/>
    <hyperlink ref="D59" r:id="rId_hyperlink_43"/>
    <hyperlink ref="D60" r:id="rId_hyperlink_44"/>
    <hyperlink ref="D61" r:id="rId_hyperlink_45"/>
    <hyperlink ref="D62" r:id="rId_hyperlink_46"/>
    <hyperlink ref="D63" r:id="rId_hyperlink_47"/>
    <hyperlink ref="D64" r:id="rId_hyperlink_48"/>
    <hyperlink ref="D65" r:id="rId_hyperlink_49"/>
    <hyperlink ref="D66" r:id="rId_hyperlink_50"/>
    <hyperlink ref="D67" r:id="rId_hyperlink_51"/>
    <hyperlink ref="D68" r:id="rId_hyperlink_52"/>
    <hyperlink ref="D69" r:id="rId_hyperlink_53"/>
    <hyperlink ref="D70" r:id="rId_hyperlink_54"/>
    <hyperlink ref="D71" r:id="rId_hyperlink_55"/>
    <hyperlink ref="D72" r:id="rId_hyperlink_56"/>
    <hyperlink ref="D73" r:id="rId_hyperlink_57"/>
    <hyperlink ref="D74" r:id="rId_hyperlink_58"/>
    <hyperlink ref="D75" r:id="rId_hyperlink_59"/>
    <hyperlink ref="D76" r:id="rId_hyperlink_60"/>
    <hyperlink ref="D77" r:id="rId_hyperlink_61"/>
    <hyperlink ref="D78" r:id="rId_hyperlink_62"/>
    <hyperlink ref="D79" r:id="rId_hyperlink_63"/>
    <hyperlink ref="D80" r:id="rId_hyperlink_64"/>
    <hyperlink ref="D81" r:id="rId_hyperlink_65"/>
    <hyperlink ref="D82" r:id="rId_hyperlink_66"/>
    <hyperlink ref="D83" r:id="rId_hyperlink_67"/>
    <hyperlink ref="D84" r:id="rId_hyperlink_68"/>
    <hyperlink ref="D85" r:id="rId_hyperlink_69"/>
    <hyperlink ref="D86" r:id="rId_hyperlink_70"/>
    <hyperlink ref="D87" r:id="rId_hyperlink_71"/>
    <hyperlink ref="D88" r:id="rId_hyperlink_72"/>
    <hyperlink ref="D89" r:id="rId_hyperlink_73"/>
    <hyperlink ref="D90" r:id="rId_hyperlink_74"/>
    <hyperlink ref="D91" r:id="rId_hyperlink_75"/>
    <hyperlink ref="D92" r:id="rId_hyperlink_76"/>
    <hyperlink ref="D93" r:id="rId_hyperlink_77"/>
    <hyperlink ref="D94" r:id="rId_hyperlink_78"/>
    <hyperlink ref="D95" r:id="rId_hyperlink_79"/>
    <hyperlink ref="D96" r:id="rId_hyperlink_80"/>
    <hyperlink ref="D97" r:id="rId_hyperlink_81"/>
    <hyperlink ref="D98" r:id="rId_hyperlink_82"/>
    <hyperlink ref="D99" r:id="rId_hyperlink_83"/>
    <hyperlink ref="D100" r:id="rId_hyperlink_84"/>
    <hyperlink ref="D101" r:id="rId_hyperlink_85"/>
    <hyperlink ref="D102" r:id="rId_hyperlink_86"/>
    <hyperlink ref="D103" r:id="rId_hyperlink_87"/>
    <hyperlink ref="D104" r:id="rId_hyperlink_88"/>
    <hyperlink ref="D105" r:id="rId_hyperlink_89"/>
    <hyperlink ref="D106" r:id="rId_hyperlink_90"/>
    <hyperlink ref="D107" r:id="rId_hyperlink_91"/>
    <hyperlink ref="D108" r:id="rId_hyperlink_92"/>
    <hyperlink ref="D109" r:id="rId_hyperlink_93"/>
    <hyperlink ref="D110" r:id="rId_hyperlink_94"/>
    <hyperlink ref="D111" r:id="rId_hyperlink_95"/>
    <hyperlink ref="D112" r:id="rId_hyperlink_96"/>
    <hyperlink ref="D113" r:id="rId_hyperlink_97"/>
    <hyperlink ref="D114" r:id="rId_hyperlink_98"/>
    <hyperlink ref="D115" r:id="rId_hyperlink_99"/>
    <hyperlink ref="D116" r:id="rId_hyperlink_100"/>
    <hyperlink ref="D117" r:id="rId_hyperlink_101"/>
    <hyperlink ref="D118" r:id="rId_hyperlink_102"/>
    <hyperlink ref="D119" r:id="rId_hyperlink_103"/>
    <hyperlink ref="D120" r:id="rId_hyperlink_104"/>
    <hyperlink ref="D121" r:id="rId_hyperlink_105"/>
    <hyperlink ref="D122" r:id="rId_hyperlink_106"/>
    <hyperlink ref="D123" r:id="rId_hyperlink_107"/>
    <hyperlink ref="D124" r:id="rId_hyperlink_108"/>
    <hyperlink ref="D125" r:id="rId_hyperlink_109"/>
    <hyperlink ref="D126" r:id="rId_hyperlink_110"/>
    <hyperlink ref="D127" r:id="rId_hyperlink_111"/>
    <hyperlink ref="D128" r:id="rId_hyperlink_112"/>
    <hyperlink ref="D129" r:id="rId_hyperlink_113"/>
    <hyperlink ref="D130" r:id="rId_hyperlink_114"/>
    <hyperlink ref="D131" r:id="rId_hyperlink_115"/>
    <hyperlink ref="D132" r:id="rId_hyperlink_116"/>
    <hyperlink ref="D133" r:id="rId_hyperlink_117"/>
    <hyperlink ref="D134" r:id="rId_hyperlink_118"/>
    <hyperlink ref="D135" r:id="rId_hyperlink_119"/>
    <hyperlink ref="D136" r:id="rId_hyperlink_120"/>
    <hyperlink ref="D137" r:id="rId_hyperlink_121"/>
    <hyperlink ref="D138" r:id="rId_hyperlink_122"/>
    <hyperlink ref="D139" r:id="rId_hyperlink_123"/>
    <hyperlink ref="D140" r:id="rId_hyperlink_124"/>
    <hyperlink ref="D141" r:id="rId_hyperlink_125"/>
    <hyperlink ref="D147" r:id="rId_hyperlink_126"/>
    <hyperlink ref="D148" r:id="rId_hyperlink_127"/>
    <hyperlink ref="D149" r:id="rId_hyperlink_128"/>
    <hyperlink ref="D150" r:id="rId_hyperlink_129"/>
    <hyperlink ref="D151" r:id="rId_hyperlink_130"/>
    <hyperlink ref="D152" r:id="rId_hyperlink_131"/>
    <hyperlink ref="D153" r:id="rId_hyperlink_132"/>
    <hyperlink ref="D154" r:id="rId_hyperlink_133"/>
    <hyperlink ref="D155" r:id="rId_hyperlink_134"/>
    <hyperlink ref="D156" r:id="rId_hyperlink_135"/>
    <hyperlink ref="D158" r:id="rId_hyperlink_136"/>
    <hyperlink ref="D159" r:id="rId_hyperlink_137"/>
    <hyperlink ref="D160" r:id="rId_hyperlink_138"/>
    <hyperlink ref="D161" r:id="rId_hyperlink_139"/>
    <hyperlink ref="D163" r:id="rId_hyperlink_140"/>
    <hyperlink ref="D164" r:id="rId_hyperlink_141"/>
    <hyperlink ref="D165" r:id="rId_hyperlink_142"/>
    <hyperlink ref="D166" r:id="rId_hyperlink_143"/>
    <hyperlink ref="D167" r:id="rId_hyperlink_144"/>
    <hyperlink ref="D170" r:id="rId_hyperlink_145"/>
    <hyperlink ref="D172" r:id="rId_hyperlink_146"/>
    <hyperlink ref="D173" r:id="rId_hyperlink_147"/>
    <hyperlink ref="D174" r:id="rId_hyperlink_148"/>
    <hyperlink ref="D175" r:id="rId_hyperlink_149"/>
    <hyperlink ref="D176" r:id="rId_hyperlink_150"/>
    <hyperlink ref="D177" r:id="rId_hyperlink_151"/>
    <hyperlink ref="D178" r:id="rId_hyperlink_152"/>
    <hyperlink ref="D179" r:id="rId_hyperlink_153"/>
    <hyperlink ref="D180" r:id="rId_hyperlink_154"/>
    <hyperlink ref="D181" r:id="rId_hyperlink_155"/>
    <hyperlink ref="D182" r:id="rId_hyperlink_156"/>
    <hyperlink ref="D184" r:id="rId_hyperlink_157"/>
    <hyperlink ref="D185" r:id="rId_hyperlink_158"/>
    <hyperlink ref="D186" r:id="rId_hyperlink_159"/>
    <hyperlink ref="D187" r:id="rId_hyperlink_160"/>
    <hyperlink ref="D188" r:id="rId_hyperlink_161"/>
    <hyperlink ref="D189" r:id="rId_hyperlink_162"/>
    <hyperlink ref="D191" r:id="rId_hyperlink_163"/>
    <hyperlink ref="D192" r:id="rId_hyperlink_164"/>
    <hyperlink ref="D193" r:id="rId_hyperlink_165"/>
    <hyperlink ref="D194" r:id="rId_hyperlink_166"/>
    <hyperlink ref="D195" r:id="rId_hyperlink_167"/>
    <hyperlink ref="D196" r:id="rId_hyperlink_168"/>
    <hyperlink ref="D197" r:id="rId_hyperlink_169"/>
    <hyperlink ref="D198" r:id="rId_hyperlink_170"/>
    <hyperlink ref="D202" r:id="rId_hyperlink_171"/>
    <hyperlink ref="D203" r:id="rId_hyperlink_172"/>
    <hyperlink ref="D204" r:id="rId_hyperlink_173"/>
    <hyperlink ref="D206" r:id="rId_hyperlink_174"/>
    <hyperlink ref="D207" r:id="rId_hyperlink_175"/>
    <hyperlink ref="D208" r:id="rId_hyperlink_176"/>
    <hyperlink ref="D209" r:id="rId_hyperlink_177"/>
    <hyperlink ref="D212" r:id="rId_hyperlink_178"/>
    <hyperlink ref="D213" r:id="rId_hyperlink_179"/>
    <hyperlink ref="D214" r:id="rId_hyperlink_180"/>
    <hyperlink ref="D215" r:id="rId_hyperlink_181"/>
    <hyperlink ref="D216" r:id="rId_hyperlink_182"/>
    <hyperlink ref="D217" r:id="rId_hyperlink_183"/>
    <hyperlink ref="D218" r:id="rId_hyperlink_184"/>
    <hyperlink ref="D219" r:id="rId_hyperlink_185"/>
    <hyperlink ref="D220" r:id="rId_hyperlink_186"/>
    <hyperlink ref="D221" r:id="rId_hyperlink_187"/>
    <hyperlink ref="D222" r:id="rId_hyperlink_188"/>
    <hyperlink ref="D223" r:id="rId_hyperlink_189"/>
    <hyperlink ref="D224" r:id="rId_hyperlink_190"/>
    <hyperlink ref="D225" r:id="rId_hyperlink_191"/>
    <hyperlink ref="D226" r:id="rId_hyperlink_192"/>
    <hyperlink ref="D227" r:id="rId_hyperlink_193"/>
    <hyperlink ref="D228" r:id="rId_hyperlink_194"/>
    <hyperlink ref="D229" r:id="rId_hyperlink_195"/>
    <hyperlink ref="D230" r:id="rId_hyperlink_196"/>
    <hyperlink ref="D231" r:id="rId_hyperlink_197"/>
    <hyperlink ref="D232" r:id="rId_hyperlink_198"/>
    <hyperlink ref="D234" r:id="rId_hyperlink_199"/>
    <hyperlink ref="D236" r:id="rId_hyperlink_200"/>
    <hyperlink ref="D237" r:id="rId_hyperlink_201"/>
    <hyperlink ref="D239" r:id="rId_hyperlink_202"/>
    <hyperlink ref="D240" r:id="rId_hyperlink_203"/>
    <hyperlink ref="D241" r:id="rId_hyperlink_204"/>
    <hyperlink ref="D242" r:id="rId_hyperlink_205"/>
    <hyperlink ref="D244" r:id="rId_hyperlink_206"/>
    <hyperlink ref="D245" r:id="rId_hyperlink_207"/>
    <hyperlink ref="D246" r:id="rId_hyperlink_208"/>
    <hyperlink ref="D247" r:id="rId_hyperlink_209"/>
    <hyperlink ref="D248" r:id="rId_hyperlink_210"/>
    <hyperlink ref="D249" r:id="rId_hyperlink_211"/>
    <hyperlink ref="D250" r:id="rId_hyperlink_212"/>
    <hyperlink ref="D251" r:id="rId_hyperlink_213"/>
    <hyperlink ref="D253" r:id="rId_hyperlink_214"/>
    <hyperlink ref="D254" r:id="rId_hyperlink_215"/>
    <hyperlink ref="D256" r:id="rId_hyperlink_216"/>
    <hyperlink ref="D257" r:id="rId_hyperlink_217"/>
    <hyperlink ref="D258" r:id="rId_hyperlink_218"/>
    <hyperlink ref="D259" r:id="rId_hyperlink_219"/>
    <hyperlink ref="D261" r:id="rId_hyperlink_220"/>
    <hyperlink ref="D262" r:id="rId_hyperlink_221"/>
    <hyperlink ref="D263" r:id="rId_hyperlink_222"/>
    <hyperlink ref="D265" r:id="rId_hyperlink_223"/>
    <hyperlink ref="D266" r:id="rId_hyperlink_224"/>
    <hyperlink ref="D267" r:id="rId_hyperlink_225"/>
    <hyperlink ref="D268" r:id="rId_hyperlink_226"/>
    <hyperlink ref="D269" r:id="rId_hyperlink_227"/>
    <hyperlink ref="D270" r:id="rId_hyperlink_228"/>
    <hyperlink ref="D271" r:id="rId_hyperlink_229"/>
    <hyperlink ref="D272" r:id="rId_hyperlink_230"/>
    <hyperlink ref="D273" r:id="rId_hyperlink_231"/>
    <hyperlink ref="D274" r:id="rId_hyperlink_232"/>
    <hyperlink ref="D275" r:id="rId_hyperlink_233"/>
    <hyperlink ref="D276" r:id="rId_hyperlink_234"/>
    <hyperlink ref="D277" r:id="rId_hyperlink_235"/>
    <hyperlink ref="D280" r:id="rId_hyperlink_236"/>
    <hyperlink ref="D281" r:id="rId_hyperlink_237"/>
    <hyperlink ref="D282" r:id="rId_hyperlink_238"/>
    <hyperlink ref="D283" r:id="rId_hyperlink_239"/>
    <hyperlink ref="D285" r:id="rId_hyperlink_240"/>
    <hyperlink ref="D286" r:id="rId_hyperlink_241"/>
    <hyperlink ref="D287" r:id="rId_hyperlink_242"/>
    <hyperlink ref="D288" r:id="rId_hyperlink_243"/>
    <hyperlink ref="D290" r:id="rId_hyperlink_244"/>
    <hyperlink ref="D291" r:id="rId_hyperlink_245"/>
    <hyperlink ref="D292" r:id="rId_hyperlink_246"/>
    <hyperlink ref="D293" r:id="rId_hyperlink_247"/>
    <hyperlink ref="D294" r:id="rId_hyperlink_248"/>
    <hyperlink ref="D295" r:id="rId_hyperlink_249"/>
    <hyperlink ref="D298" r:id="rId_hyperlink_250"/>
    <hyperlink ref="D299" r:id="rId_hyperlink_251"/>
    <hyperlink ref="D300" r:id="rId_hyperlink_252"/>
    <hyperlink ref="D301" r:id="rId_hyperlink_253"/>
    <hyperlink ref="D303" r:id="rId_hyperlink_254"/>
    <hyperlink ref="D304" r:id="rId_hyperlink_255"/>
    <hyperlink ref="D305" r:id="rId_hyperlink_256"/>
    <hyperlink ref="D306" r:id="rId_hyperlink_257"/>
    <hyperlink ref="D307" r:id="rId_hyperlink_258"/>
    <hyperlink ref="D309" r:id="rId_hyperlink_259"/>
    <hyperlink ref="D310" r:id="rId_hyperlink_260"/>
    <hyperlink ref="D311" r:id="rId_hyperlink_261"/>
    <hyperlink ref="D313" r:id="rId_hyperlink_262"/>
    <hyperlink ref="D314" r:id="rId_hyperlink_263"/>
    <hyperlink ref="D317" r:id="rId_hyperlink_264"/>
    <hyperlink ref="D318" r:id="rId_hyperlink_265"/>
    <hyperlink ref="D319" r:id="rId_hyperlink_266"/>
    <hyperlink ref="D320" r:id="rId_hyperlink_267"/>
    <hyperlink ref="D321" r:id="rId_hyperlink_268"/>
    <hyperlink ref="D322" r:id="rId_hyperlink_269"/>
    <hyperlink ref="D323" r:id="rId_hyperlink_270"/>
    <hyperlink ref="D324" r:id="rId_hyperlink_271"/>
    <hyperlink ref="D326" r:id="rId_hyperlink_272"/>
    <hyperlink ref="D327" r:id="rId_hyperlink_273"/>
    <hyperlink ref="D328" r:id="rId_hyperlink_274"/>
    <hyperlink ref="D329" r:id="rId_hyperlink_275"/>
    <hyperlink ref="D330" r:id="rId_hyperlink_276"/>
    <hyperlink ref="D331" r:id="rId_hyperlink_277"/>
    <hyperlink ref="D332" r:id="rId_hyperlink_278"/>
    <hyperlink ref="D333" r:id="rId_hyperlink_279"/>
    <hyperlink ref="D334" r:id="rId_hyperlink_280"/>
    <hyperlink ref="D335" r:id="rId_hyperlink_281"/>
    <hyperlink ref="D336" r:id="rId_hyperlink_282"/>
    <hyperlink ref="D337" r:id="rId_hyperlink_283"/>
    <hyperlink ref="D338" r:id="rId_hyperlink_284"/>
    <hyperlink ref="D339" r:id="rId_hyperlink_285"/>
    <hyperlink ref="D340" r:id="rId_hyperlink_286"/>
    <hyperlink ref="D341" r:id="rId_hyperlink_287"/>
    <hyperlink ref="D342" r:id="rId_hyperlink_288"/>
    <hyperlink ref="D343" r:id="rId_hyperlink_289"/>
    <hyperlink ref="D344" r:id="rId_hyperlink_290"/>
    <hyperlink ref="D345" r:id="rId_hyperlink_291"/>
    <hyperlink ref="D346" r:id="rId_hyperlink_292"/>
    <hyperlink ref="D348" r:id="rId_hyperlink_293"/>
    <hyperlink ref="D349" r:id="rId_hyperlink_294"/>
    <hyperlink ref="D350" r:id="rId_hyperlink_295"/>
    <hyperlink ref="D351" r:id="rId_hyperlink_296"/>
    <hyperlink ref="D354" r:id="rId_hyperlink_297"/>
    <hyperlink ref="D355" r:id="rId_hyperlink_298"/>
    <hyperlink ref="D357" r:id="rId_hyperlink_299"/>
    <hyperlink ref="D358" r:id="rId_hyperlink_300"/>
    <hyperlink ref="D359" r:id="rId_hyperlink_301"/>
    <hyperlink ref="D360" r:id="rId_hyperlink_302"/>
    <hyperlink ref="D361" r:id="rId_hyperlink_303"/>
    <hyperlink ref="D362" r:id="rId_hyperlink_304"/>
    <hyperlink ref="D363" r:id="rId_hyperlink_305"/>
    <hyperlink ref="D364" r:id="rId_hyperlink_306"/>
    <hyperlink ref="D365" r:id="rId_hyperlink_307"/>
    <hyperlink ref="D366" r:id="rId_hyperlink_308"/>
    <hyperlink ref="D367" r:id="rId_hyperlink_309"/>
    <hyperlink ref="D368" r:id="rId_hyperlink_310"/>
    <hyperlink ref="D369" r:id="rId_hyperlink_311"/>
    <hyperlink ref="D370" r:id="rId_hyperlink_312"/>
    <hyperlink ref="D371" r:id="rId_hyperlink_313"/>
    <hyperlink ref="D372" r:id="rId_hyperlink_314"/>
    <hyperlink ref="D373" r:id="rId_hyperlink_315"/>
    <hyperlink ref="D374" r:id="rId_hyperlink_316"/>
    <hyperlink ref="D375" r:id="rId_hyperlink_317"/>
    <hyperlink ref="D376" r:id="rId_hyperlink_318"/>
    <hyperlink ref="D377" r:id="rId_hyperlink_319"/>
    <hyperlink ref="D378" r:id="rId_hyperlink_320"/>
    <hyperlink ref="D380" r:id="rId_hyperlink_321"/>
    <hyperlink ref="D381" r:id="rId_hyperlink_322"/>
    <hyperlink ref="D382" r:id="rId_hyperlink_323"/>
    <hyperlink ref="D383" r:id="rId_hyperlink_324"/>
    <hyperlink ref="D384" r:id="rId_hyperlink_325"/>
    <hyperlink ref="D387" r:id="rId_hyperlink_326"/>
    <hyperlink ref="D388" r:id="rId_hyperlink_327"/>
    <hyperlink ref="D389" r:id="rId_hyperlink_328"/>
    <hyperlink ref="D390" r:id="rId_hyperlink_329"/>
    <hyperlink ref="D392" r:id="rId_hyperlink_330"/>
    <hyperlink ref="D393" r:id="rId_hyperlink_331"/>
    <hyperlink ref="D394" r:id="rId_hyperlink_332"/>
    <hyperlink ref="D395" r:id="rId_hyperlink_333"/>
    <hyperlink ref="D396" r:id="rId_hyperlink_334"/>
    <hyperlink ref="D397" r:id="rId_hyperlink_335"/>
    <hyperlink ref="D398" r:id="rId_hyperlink_336"/>
    <hyperlink ref="D401" r:id="rId_hyperlink_337"/>
    <hyperlink ref="D403" r:id="rId_hyperlink_338"/>
    <hyperlink ref="D404" r:id="rId_hyperlink_339"/>
    <hyperlink ref="D405" r:id="rId_hyperlink_340"/>
    <hyperlink ref="D406" r:id="rId_hyperlink_341"/>
    <hyperlink ref="D407" r:id="rId_hyperlink_342"/>
    <hyperlink ref="D408" r:id="rId_hyperlink_343"/>
    <hyperlink ref="D409" r:id="rId_hyperlink_344"/>
    <hyperlink ref="D410" r:id="rId_hyperlink_345"/>
    <hyperlink ref="D411" r:id="rId_hyperlink_346"/>
    <hyperlink ref="D412" r:id="rId_hyperlink_347"/>
    <hyperlink ref="D413" r:id="rId_hyperlink_348"/>
    <hyperlink ref="D414" r:id="rId_hyperlink_349"/>
    <hyperlink ref="D415" r:id="rId_hyperlink_350"/>
    <hyperlink ref="D416" r:id="rId_hyperlink_351"/>
    <hyperlink ref="D417" r:id="rId_hyperlink_352"/>
    <hyperlink ref="D418" r:id="rId_hyperlink_353"/>
    <hyperlink ref="D419" r:id="rId_hyperlink_354"/>
    <hyperlink ref="D420" r:id="rId_hyperlink_355"/>
    <hyperlink ref="D421" r:id="rId_hyperlink_356"/>
    <hyperlink ref="D422" r:id="rId_hyperlink_357"/>
    <hyperlink ref="D423" r:id="rId_hyperlink_358"/>
    <hyperlink ref="D424" r:id="rId_hyperlink_359"/>
    <hyperlink ref="D425" r:id="rId_hyperlink_360"/>
    <hyperlink ref="D426" r:id="rId_hyperlink_361"/>
    <hyperlink ref="D427" r:id="rId_hyperlink_362"/>
    <hyperlink ref="D428" r:id="rId_hyperlink_363"/>
    <hyperlink ref="D429" r:id="rId_hyperlink_364"/>
    <hyperlink ref="D430" r:id="rId_hyperlink_365"/>
    <hyperlink ref="D431" r:id="rId_hyperlink_366"/>
    <hyperlink ref="D432" r:id="rId_hyperlink_367"/>
    <hyperlink ref="D433" r:id="rId_hyperlink_368"/>
    <hyperlink ref="D434" r:id="rId_hyperlink_369"/>
    <hyperlink ref="D435" r:id="rId_hyperlink_370"/>
    <hyperlink ref="D436" r:id="rId_hyperlink_371"/>
    <hyperlink ref="D437" r:id="rId_hyperlink_372"/>
    <hyperlink ref="D438" r:id="rId_hyperlink_373"/>
    <hyperlink ref="D439" r:id="rId_hyperlink_374"/>
    <hyperlink ref="D440" r:id="rId_hyperlink_375"/>
    <hyperlink ref="D441" r:id="rId_hyperlink_376"/>
    <hyperlink ref="D442" r:id="rId_hyperlink_377"/>
    <hyperlink ref="D443" r:id="rId_hyperlink_378"/>
    <hyperlink ref="D444" r:id="rId_hyperlink_379"/>
    <hyperlink ref="D445" r:id="rId_hyperlink_380"/>
    <hyperlink ref="D446" r:id="rId_hyperlink_381"/>
    <hyperlink ref="D447" r:id="rId_hyperlink_382"/>
    <hyperlink ref="D448" r:id="rId_hyperlink_383"/>
    <hyperlink ref="D449" r:id="rId_hyperlink_384"/>
    <hyperlink ref="D450" r:id="rId_hyperlink_385"/>
    <hyperlink ref="D451" r:id="rId_hyperlink_386"/>
    <hyperlink ref="D452" r:id="rId_hyperlink_387"/>
    <hyperlink ref="D453" r:id="rId_hyperlink_388"/>
    <hyperlink ref="D454" r:id="rId_hyperlink_389"/>
    <hyperlink ref="D455" r:id="rId_hyperlink_390"/>
    <hyperlink ref="D456" r:id="rId_hyperlink_391"/>
    <hyperlink ref="D457" r:id="rId_hyperlink_392"/>
    <hyperlink ref="D458" r:id="rId_hyperlink_393"/>
    <hyperlink ref="D459" r:id="rId_hyperlink_394"/>
    <hyperlink ref="D460" r:id="rId_hyperlink_395"/>
    <hyperlink ref="D461" r:id="rId_hyperlink_396"/>
    <hyperlink ref="D462" r:id="rId_hyperlink_397"/>
    <hyperlink ref="D463" r:id="rId_hyperlink_398"/>
    <hyperlink ref="D464" r:id="rId_hyperlink_399"/>
    <hyperlink ref="D465" r:id="rId_hyperlink_400"/>
    <hyperlink ref="D466" r:id="rId_hyperlink_401"/>
    <hyperlink ref="D467" r:id="rId_hyperlink_402"/>
    <hyperlink ref="D468" r:id="rId_hyperlink_403"/>
    <hyperlink ref="D469" r:id="rId_hyperlink_404"/>
    <hyperlink ref="D470" r:id="rId_hyperlink_405"/>
    <hyperlink ref="D471" r:id="rId_hyperlink_406"/>
    <hyperlink ref="D472" r:id="rId_hyperlink_407"/>
    <hyperlink ref="D474" r:id="rId_hyperlink_408"/>
    <hyperlink ref="D475" r:id="rId_hyperlink_409"/>
    <hyperlink ref="D477" r:id="rId_hyperlink_410"/>
    <hyperlink ref="D478" r:id="rId_hyperlink_411"/>
    <hyperlink ref="D479" r:id="rId_hyperlink_412"/>
    <hyperlink ref="D480" r:id="rId_hyperlink_413"/>
    <hyperlink ref="D481" r:id="rId_hyperlink_414"/>
    <hyperlink ref="D482" r:id="rId_hyperlink_415"/>
    <hyperlink ref="D483" r:id="rId_hyperlink_416"/>
    <hyperlink ref="D484" r:id="rId_hyperlink_417"/>
    <hyperlink ref="D485" r:id="rId_hyperlink_418"/>
    <hyperlink ref="D486" r:id="rId_hyperlink_419"/>
    <hyperlink ref="D488" r:id="rId_hyperlink_420"/>
    <hyperlink ref="D489" r:id="rId_hyperlink_421"/>
    <hyperlink ref="D490" r:id="rId_hyperlink_422"/>
    <hyperlink ref="D491" r:id="rId_hyperlink_423"/>
    <hyperlink ref="D492" r:id="rId_hyperlink_424"/>
    <hyperlink ref="D493" r:id="rId_hyperlink_425"/>
    <hyperlink ref="D494" r:id="rId_hyperlink_426"/>
    <hyperlink ref="D495" r:id="rId_hyperlink_427"/>
    <hyperlink ref="D496" r:id="rId_hyperlink_428"/>
    <hyperlink ref="D497" r:id="rId_hyperlink_429"/>
    <hyperlink ref="D498" r:id="rId_hyperlink_430"/>
    <hyperlink ref="D499" r:id="rId_hyperlink_431"/>
    <hyperlink ref="D500" r:id="rId_hyperlink_432"/>
    <hyperlink ref="D501" r:id="rId_hyperlink_433"/>
    <hyperlink ref="D502" r:id="rId_hyperlink_434"/>
    <hyperlink ref="D503" r:id="rId_hyperlink_435"/>
    <hyperlink ref="D504" r:id="rId_hyperlink_436"/>
    <hyperlink ref="D505" r:id="rId_hyperlink_437"/>
    <hyperlink ref="D506" r:id="rId_hyperlink_438"/>
    <hyperlink ref="D507" r:id="rId_hyperlink_439"/>
    <hyperlink ref="D508" r:id="rId_hyperlink_440"/>
    <hyperlink ref="D509" r:id="rId_hyperlink_441"/>
    <hyperlink ref="D510" r:id="rId_hyperlink_442"/>
    <hyperlink ref="D511" r:id="rId_hyperlink_443"/>
    <hyperlink ref="D512" r:id="rId_hyperlink_444"/>
    <hyperlink ref="D513" r:id="rId_hyperlink_445"/>
    <hyperlink ref="D514" r:id="rId_hyperlink_446"/>
    <hyperlink ref="D515" r:id="rId_hyperlink_447"/>
    <hyperlink ref="D516" r:id="rId_hyperlink_448"/>
    <hyperlink ref="D517" r:id="rId_hyperlink_449"/>
    <hyperlink ref="D518" r:id="rId_hyperlink_450"/>
    <hyperlink ref="D519" r:id="rId_hyperlink_451"/>
    <hyperlink ref="D520" r:id="rId_hyperlink_452"/>
    <hyperlink ref="D521" r:id="rId_hyperlink_453"/>
    <hyperlink ref="D523" r:id="rId_hyperlink_454"/>
    <hyperlink ref="D524" r:id="rId_hyperlink_455"/>
    <hyperlink ref="D525" r:id="rId_hyperlink_456"/>
    <hyperlink ref="D526" r:id="rId_hyperlink_457"/>
    <hyperlink ref="D528" r:id="rId_hyperlink_458"/>
    <hyperlink ref="D530" r:id="rId_hyperlink_459"/>
    <hyperlink ref="D531" r:id="rId_hyperlink_460"/>
    <hyperlink ref="D532" r:id="rId_hyperlink_461"/>
    <hyperlink ref="D533" r:id="rId_hyperlink_462"/>
    <hyperlink ref="D534" r:id="rId_hyperlink_463"/>
    <hyperlink ref="D535" r:id="rId_hyperlink_464"/>
    <hyperlink ref="D536" r:id="rId_hyperlink_465"/>
    <hyperlink ref="D538" r:id="rId_hyperlink_466"/>
    <hyperlink ref="D540" r:id="rId_hyperlink_467"/>
    <hyperlink ref="D541" r:id="rId_hyperlink_468"/>
    <hyperlink ref="D542" r:id="rId_hyperlink_469"/>
    <hyperlink ref="D543" r:id="rId_hyperlink_470"/>
    <hyperlink ref="D544" r:id="rId_hyperlink_471"/>
    <hyperlink ref="D545" r:id="rId_hyperlink_472"/>
    <hyperlink ref="D546" r:id="rId_hyperlink_473"/>
    <hyperlink ref="D547" r:id="rId_hyperlink_474"/>
    <hyperlink ref="D548" r:id="rId_hyperlink_475"/>
    <hyperlink ref="D549" r:id="rId_hyperlink_476"/>
    <hyperlink ref="D550" r:id="rId_hyperlink_477"/>
    <hyperlink ref="D551" r:id="rId_hyperlink_478"/>
    <hyperlink ref="D552" r:id="rId_hyperlink_479"/>
    <hyperlink ref="D555" r:id="rId_hyperlink_480"/>
    <hyperlink ref="D556" r:id="rId_hyperlink_481"/>
    <hyperlink ref="D557" r:id="rId_hyperlink_482"/>
    <hyperlink ref="D558" r:id="rId_hyperlink_483"/>
    <hyperlink ref="D559" r:id="rId_hyperlink_484"/>
    <hyperlink ref="D560" r:id="rId_hyperlink_485"/>
    <hyperlink ref="D561" r:id="rId_hyperlink_486"/>
    <hyperlink ref="D562" r:id="rId_hyperlink_487"/>
    <hyperlink ref="D563" r:id="rId_hyperlink_488"/>
    <hyperlink ref="D564" r:id="rId_hyperlink_489"/>
    <hyperlink ref="D565" r:id="rId_hyperlink_490"/>
    <hyperlink ref="D567" r:id="rId_hyperlink_491"/>
    <hyperlink ref="D569" r:id="rId_hyperlink_492"/>
    <hyperlink ref="D572" r:id="rId_hyperlink_493"/>
    <hyperlink ref="D573" r:id="rId_hyperlink_494"/>
    <hyperlink ref="D575" r:id="rId_hyperlink_495"/>
    <hyperlink ref="D577" r:id="rId_hyperlink_496"/>
    <hyperlink ref="D578" r:id="rId_hyperlink_497"/>
    <hyperlink ref="D579" r:id="rId_hyperlink_498"/>
    <hyperlink ref="D581" r:id="rId_hyperlink_499"/>
    <hyperlink ref="D584" r:id="rId_hyperlink_500"/>
    <hyperlink ref="D586" r:id="rId_hyperlink_501"/>
    <hyperlink ref="D587" r:id="rId_hyperlink_502"/>
    <hyperlink ref="D588" r:id="rId_hyperlink_503"/>
    <hyperlink ref="D589" r:id="rId_hyperlink_504"/>
    <hyperlink ref="D590" r:id="rId_hyperlink_505"/>
    <hyperlink ref="D591" r:id="rId_hyperlink_506"/>
    <hyperlink ref="D592" r:id="rId_hyperlink_507"/>
    <hyperlink ref="D594" r:id="rId_hyperlink_508"/>
    <hyperlink ref="D596" r:id="rId_hyperlink_509"/>
    <hyperlink ref="D597" r:id="rId_hyperlink_510"/>
    <hyperlink ref="D598" r:id="rId_hyperlink_511"/>
    <hyperlink ref="D599" r:id="rId_hyperlink_512"/>
    <hyperlink ref="D600" r:id="rId_hyperlink_513"/>
    <hyperlink ref="D601" r:id="rId_hyperlink_514"/>
    <hyperlink ref="D602" r:id="rId_hyperlink_515"/>
    <hyperlink ref="D604" r:id="rId_hyperlink_516"/>
    <hyperlink ref="D607" r:id="rId_hyperlink_517"/>
    <hyperlink ref="D608" r:id="rId_hyperlink_518"/>
    <hyperlink ref="D609" r:id="rId_hyperlink_519"/>
    <hyperlink ref="D610" r:id="rId_hyperlink_520"/>
    <hyperlink ref="D611" r:id="rId_hyperlink_521"/>
    <hyperlink ref="D613" r:id="rId_hyperlink_522"/>
    <hyperlink ref="D614" r:id="rId_hyperlink_523"/>
    <hyperlink ref="D615" r:id="rId_hyperlink_524"/>
    <hyperlink ref="D616" r:id="rId_hyperlink_525"/>
    <hyperlink ref="D618" r:id="rId_hyperlink_526"/>
    <hyperlink ref="D621" r:id="rId_hyperlink_527"/>
    <hyperlink ref="D622" r:id="rId_hyperlink_528"/>
    <hyperlink ref="D623" r:id="rId_hyperlink_529"/>
    <hyperlink ref="D624" r:id="rId_hyperlink_530"/>
    <hyperlink ref="D625" r:id="rId_hyperlink_531"/>
    <hyperlink ref="D626" r:id="rId_hyperlink_532"/>
    <hyperlink ref="D627" r:id="rId_hyperlink_533"/>
    <hyperlink ref="D628" r:id="rId_hyperlink_534"/>
    <hyperlink ref="D629" r:id="rId_hyperlink_535"/>
    <hyperlink ref="D630" r:id="rId_hyperlink_536"/>
    <hyperlink ref="D631" r:id="rId_hyperlink_537"/>
    <hyperlink ref="D632" r:id="rId_hyperlink_538"/>
    <hyperlink ref="D633" r:id="rId_hyperlink_539"/>
    <hyperlink ref="D634" r:id="rId_hyperlink_540"/>
    <hyperlink ref="D635" r:id="rId_hyperlink_541"/>
    <hyperlink ref="D636" r:id="rId_hyperlink_542"/>
    <hyperlink ref="D637" r:id="rId_hyperlink_543"/>
    <hyperlink ref="D638" r:id="rId_hyperlink_544"/>
    <hyperlink ref="D641" r:id="rId_hyperlink_545"/>
    <hyperlink ref="D642" r:id="rId_hyperlink_546"/>
    <hyperlink ref="D643" r:id="rId_hyperlink_547"/>
    <hyperlink ref="D644" r:id="rId_hyperlink_548"/>
    <hyperlink ref="D645" r:id="rId_hyperlink_549"/>
    <hyperlink ref="D646" r:id="rId_hyperlink_550"/>
    <hyperlink ref="D647" r:id="rId_hyperlink_551"/>
    <hyperlink ref="D648" r:id="rId_hyperlink_552"/>
    <hyperlink ref="D649" r:id="rId_hyperlink_553"/>
    <hyperlink ref="D650" r:id="rId_hyperlink_554"/>
    <hyperlink ref="D651" r:id="rId_hyperlink_555"/>
    <hyperlink ref="D652" r:id="rId_hyperlink_556"/>
    <hyperlink ref="D653" r:id="rId_hyperlink_557"/>
    <hyperlink ref="D655" r:id="rId_hyperlink_558"/>
    <hyperlink ref="D656" r:id="rId_hyperlink_559"/>
    <hyperlink ref="D659" r:id="rId_hyperlink_560"/>
    <hyperlink ref="D660" r:id="rId_hyperlink_561"/>
    <hyperlink ref="D661" r:id="rId_hyperlink_562"/>
    <hyperlink ref="D662" r:id="rId_hyperlink_563"/>
    <hyperlink ref="D663" r:id="rId_hyperlink_564"/>
    <hyperlink ref="D664" r:id="rId_hyperlink_565"/>
    <hyperlink ref="D665" r:id="rId_hyperlink_566"/>
    <hyperlink ref="D666" r:id="rId_hyperlink_567"/>
    <hyperlink ref="D667" r:id="rId_hyperlink_568"/>
    <hyperlink ref="D668" r:id="rId_hyperlink_569"/>
    <hyperlink ref="D669" r:id="rId_hyperlink_570"/>
    <hyperlink ref="D670" r:id="rId_hyperlink_571"/>
    <hyperlink ref="D671" r:id="rId_hyperlink_572"/>
    <hyperlink ref="D672" r:id="rId_hyperlink_573"/>
    <hyperlink ref="D673" r:id="rId_hyperlink_574"/>
    <hyperlink ref="D674" r:id="rId_hyperlink_575"/>
    <hyperlink ref="D675" r:id="rId_hyperlink_576"/>
    <hyperlink ref="D676" r:id="rId_hyperlink_577"/>
    <hyperlink ref="D677" r:id="rId_hyperlink_578"/>
    <hyperlink ref="D678" r:id="rId_hyperlink_579"/>
    <hyperlink ref="D679" r:id="rId_hyperlink_580"/>
    <hyperlink ref="D680" r:id="rId_hyperlink_581"/>
    <hyperlink ref="D681" r:id="rId_hyperlink_582"/>
    <hyperlink ref="D682" r:id="rId_hyperlink_583"/>
    <hyperlink ref="D684" r:id="rId_hyperlink_584"/>
    <hyperlink ref="D687" r:id="rId_hyperlink_585"/>
    <hyperlink ref="D688" r:id="rId_hyperlink_586"/>
    <hyperlink ref="D689" r:id="rId_hyperlink_587"/>
    <hyperlink ref="D690" r:id="rId_hyperlink_588"/>
    <hyperlink ref="D692" r:id="rId_hyperlink_589"/>
    <hyperlink ref="D693" r:id="rId_hyperlink_590"/>
    <hyperlink ref="D694" r:id="rId_hyperlink_591"/>
    <hyperlink ref="D695" r:id="rId_hyperlink_592"/>
    <hyperlink ref="D696" r:id="rId_hyperlink_593"/>
    <hyperlink ref="D697" r:id="rId_hyperlink_594"/>
    <hyperlink ref="D698" r:id="rId_hyperlink_595"/>
    <hyperlink ref="D699" r:id="rId_hyperlink_596"/>
    <hyperlink ref="D700" r:id="rId_hyperlink_597"/>
    <hyperlink ref="D701" r:id="rId_hyperlink_598"/>
    <hyperlink ref="D706" r:id="rId_hyperlink_599"/>
    <hyperlink ref="D707" r:id="rId_hyperlink_600"/>
    <hyperlink ref="D708" r:id="rId_hyperlink_601"/>
    <hyperlink ref="D709" r:id="rId_hyperlink_602"/>
    <hyperlink ref="D710" r:id="rId_hyperlink_603"/>
    <hyperlink ref="D711" r:id="rId_hyperlink_604"/>
    <hyperlink ref="D712" r:id="rId_hyperlink_605"/>
    <hyperlink ref="D713" r:id="rId_hyperlink_606"/>
    <hyperlink ref="D714" r:id="rId_hyperlink_607"/>
    <hyperlink ref="D716" r:id="rId_hyperlink_608"/>
    <hyperlink ref="D717" r:id="rId_hyperlink_609"/>
    <hyperlink ref="D719" r:id="rId_hyperlink_610"/>
    <hyperlink ref="D720" r:id="rId_hyperlink_611"/>
    <hyperlink ref="D721" r:id="rId_hyperlink_612"/>
    <hyperlink ref="D723" r:id="rId_hyperlink_613"/>
    <hyperlink ref="D724" r:id="rId_hyperlink_614"/>
    <hyperlink ref="D725" r:id="rId_hyperlink_615"/>
    <hyperlink ref="D726" r:id="rId_hyperlink_616"/>
    <hyperlink ref="D727" r:id="rId_hyperlink_617"/>
    <hyperlink ref="D728" r:id="rId_hyperlink_618"/>
    <hyperlink ref="D729" r:id="rId_hyperlink_619"/>
    <hyperlink ref="D730" r:id="rId_hyperlink_620"/>
    <hyperlink ref="D731" r:id="rId_hyperlink_621"/>
    <hyperlink ref="D732" r:id="rId_hyperlink_622"/>
    <hyperlink ref="D735" r:id="rId_hyperlink_623"/>
    <hyperlink ref="D736" r:id="rId_hyperlink_624"/>
    <hyperlink ref="D737" r:id="rId_hyperlink_625"/>
    <hyperlink ref="D738" r:id="rId_hyperlink_626"/>
    <hyperlink ref="D739" r:id="rId_hyperlink_627"/>
    <hyperlink ref="D740" r:id="rId_hyperlink_628"/>
    <hyperlink ref="D741" r:id="rId_hyperlink_629"/>
    <hyperlink ref="D743" r:id="rId_hyperlink_630"/>
    <hyperlink ref="D745" r:id="rId_hyperlink_631"/>
    <hyperlink ref="D746" r:id="rId_hyperlink_632"/>
    <hyperlink ref="D747" r:id="rId_hyperlink_633"/>
    <hyperlink ref="D748" r:id="rId_hyperlink_634"/>
    <hyperlink ref="D749" r:id="rId_hyperlink_635"/>
    <hyperlink ref="D750" r:id="rId_hyperlink_636"/>
    <hyperlink ref="D751" r:id="rId_hyperlink_637"/>
    <hyperlink ref="D752" r:id="rId_hyperlink_638"/>
    <hyperlink ref="D753" r:id="rId_hyperlink_639"/>
    <hyperlink ref="D754" r:id="rId_hyperlink_640"/>
    <hyperlink ref="D755" r:id="rId_hyperlink_641"/>
    <hyperlink ref="D756" r:id="rId_hyperlink_642"/>
    <hyperlink ref="D757" r:id="rId_hyperlink_643"/>
    <hyperlink ref="D758" r:id="rId_hyperlink_644"/>
    <hyperlink ref="D759" r:id="rId_hyperlink_645"/>
    <hyperlink ref="D760" r:id="rId_hyperlink_646"/>
    <hyperlink ref="D761" r:id="rId_hyperlink_647"/>
    <hyperlink ref="D762" r:id="rId_hyperlink_648"/>
    <hyperlink ref="D763" r:id="rId_hyperlink_649"/>
    <hyperlink ref="D766" r:id="rId_hyperlink_650"/>
    <hyperlink ref="D767" r:id="rId_hyperlink_651"/>
    <hyperlink ref="D768" r:id="rId_hyperlink_652"/>
    <hyperlink ref="D769" r:id="rId_hyperlink_653"/>
    <hyperlink ref="D770" r:id="rId_hyperlink_654"/>
    <hyperlink ref="D771" r:id="rId_hyperlink_655"/>
    <hyperlink ref="D772" r:id="rId_hyperlink_656"/>
    <hyperlink ref="D773" r:id="rId_hyperlink_657"/>
    <hyperlink ref="D774" r:id="rId_hyperlink_658"/>
    <hyperlink ref="D775" r:id="rId_hyperlink_659"/>
    <hyperlink ref="D776" r:id="rId_hyperlink_660"/>
    <hyperlink ref="D777" r:id="rId_hyperlink_661"/>
    <hyperlink ref="D778" r:id="rId_hyperlink_662"/>
    <hyperlink ref="D779" r:id="rId_hyperlink_663"/>
    <hyperlink ref="D780" r:id="rId_hyperlink_664"/>
    <hyperlink ref="D781" r:id="rId_hyperlink_665"/>
    <hyperlink ref="D782" r:id="rId_hyperlink_666"/>
    <hyperlink ref="D783" r:id="rId_hyperlink_667"/>
    <hyperlink ref="D784" r:id="rId_hyperlink_668"/>
    <hyperlink ref="D785" r:id="rId_hyperlink_669"/>
    <hyperlink ref="D786" r:id="rId_hyperlink_670"/>
    <hyperlink ref="D787" r:id="rId_hyperlink_671"/>
    <hyperlink ref="D788" r:id="rId_hyperlink_672"/>
    <hyperlink ref="D789" r:id="rId_hyperlink_673"/>
    <hyperlink ref="D790" r:id="rId_hyperlink_674"/>
    <hyperlink ref="D791" r:id="rId_hyperlink_675"/>
    <hyperlink ref="D792" r:id="rId_hyperlink_676"/>
    <hyperlink ref="D793" r:id="rId_hyperlink_677"/>
    <hyperlink ref="D794" r:id="rId_hyperlink_678"/>
    <hyperlink ref="D795" r:id="rId_hyperlink_679"/>
    <hyperlink ref="D797" r:id="rId_hyperlink_680"/>
    <hyperlink ref="D798" r:id="rId_hyperlink_681"/>
    <hyperlink ref="D799" r:id="rId_hyperlink_682"/>
    <hyperlink ref="D800" r:id="rId_hyperlink_683"/>
    <hyperlink ref="D801" r:id="rId_hyperlink_684"/>
    <hyperlink ref="D804" r:id="rId_hyperlink_685"/>
    <hyperlink ref="D805" r:id="rId_hyperlink_686"/>
    <hyperlink ref="D806" r:id="rId_hyperlink_687"/>
    <hyperlink ref="D807" r:id="rId_hyperlink_688"/>
    <hyperlink ref="D808" r:id="rId_hyperlink_689"/>
    <hyperlink ref="D809" r:id="rId_hyperlink_690"/>
    <hyperlink ref="D810" r:id="rId_hyperlink_691"/>
    <hyperlink ref="D811" r:id="rId_hyperlink_692"/>
    <hyperlink ref="D812" r:id="rId_hyperlink_693"/>
    <hyperlink ref="D814" r:id="rId_hyperlink_694"/>
    <hyperlink ref="D815" r:id="rId_hyperlink_695"/>
    <hyperlink ref="D816" r:id="rId_hyperlink_696"/>
    <hyperlink ref="D817" r:id="rId_hyperlink_697"/>
    <hyperlink ref="D818" r:id="rId_hyperlink_698"/>
    <hyperlink ref="D819" r:id="rId_hyperlink_699"/>
    <hyperlink ref="D820" r:id="rId_hyperlink_700"/>
    <hyperlink ref="D821" r:id="rId_hyperlink_701"/>
    <hyperlink ref="D822" r:id="rId_hyperlink_702"/>
    <hyperlink ref="D823" r:id="rId_hyperlink_703"/>
    <hyperlink ref="D824" r:id="rId_hyperlink_704"/>
    <hyperlink ref="D825" r:id="rId_hyperlink_705"/>
    <hyperlink ref="D826" r:id="rId_hyperlink_706"/>
    <hyperlink ref="D827" r:id="rId_hyperlink_707"/>
    <hyperlink ref="D828" r:id="rId_hyperlink_708"/>
    <hyperlink ref="D829" r:id="rId_hyperlink_709"/>
    <hyperlink ref="D830" r:id="rId_hyperlink_710"/>
    <hyperlink ref="D831" r:id="rId_hyperlink_711"/>
    <hyperlink ref="D832" r:id="rId_hyperlink_712"/>
    <hyperlink ref="D833" r:id="rId_hyperlink_713"/>
    <hyperlink ref="D834" r:id="rId_hyperlink_714"/>
    <hyperlink ref="D835" r:id="rId_hyperlink_715"/>
    <hyperlink ref="D836" r:id="rId_hyperlink_716"/>
    <hyperlink ref="D837" r:id="rId_hyperlink_717"/>
    <hyperlink ref="D840" r:id="rId_hyperlink_718"/>
    <hyperlink ref="D841" r:id="rId_hyperlink_719"/>
    <hyperlink ref="D842" r:id="rId_hyperlink_720"/>
    <hyperlink ref="D843" r:id="rId_hyperlink_721"/>
    <hyperlink ref="D844" r:id="rId_hyperlink_722"/>
    <hyperlink ref="D845" r:id="rId_hyperlink_723"/>
    <hyperlink ref="D847" r:id="rId_hyperlink_724"/>
    <hyperlink ref="D848" r:id="rId_hyperlink_725"/>
    <hyperlink ref="D849" r:id="rId_hyperlink_726"/>
    <hyperlink ref="D850" r:id="rId_hyperlink_727"/>
    <hyperlink ref="D852" r:id="rId_hyperlink_728"/>
    <hyperlink ref="D853" r:id="rId_hyperlink_729"/>
    <hyperlink ref="D854" r:id="rId_hyperlink_730"/>
    <hyperlink ref="D855" r:id="rId_hyperlink_731"/>
    <hyperlink ref="D856" r:id="rId_hyperlink_732"/>
    <hyperlink ref="D857" r:id="rId_hyperlink_733"/>
    <hyperlink ref="D858" r:id="rId_hyperlink_734"/>
    <hyperlink ref="D859" r:id="rId_hyperlink_735"/>
    <hyperlink ref="D860" r:id="rId_hyperlink_736"/>
    <hyperlink ref="D861" r:id="rId_hyperlink_737"/>
    <hyperlink ref="D862" r:id="rId_hyperlink_738"/>
    <hyperlink ref="D863" r:id="rId_hyperlink_739"/>
    <hyperlink ref="D864" r:id="rId_hyperlink_740"/>
    <hyperlink ref="D865" r:id="rId_hyperlink_741"/>
    <hyperlink ref="D866" r:id="rId_hyperlink_742"/>
    <hyperlink ref="D867" r:id="rId_hyperlink_743"/>
    <hyperlink ref="D868" r:id="rId_hyperlink_744"/>
    <hyperlink ref="D869" r:id="rId_hyperlink_745"/>
    <hyperlink ref="D870" r:id="rId_hyperlink_746"/>
    <hyperlink ref="D871" r:id="rId_hyperlink_747"/>
    <hyperlink ref="D872" r:id="rId_hyperlink_748"/>
    <hyperlink ref="D873" r:id="rId_hyperlink_749"/>
    <hyperlink ref="D874" r:id="rId_hyperlink_750"/>
    <hyperlink ref="D877" r:id="rId_hyperlink_751"/>
    <hyperlink ref="D879" r:id="rId_hyperlink_752"/>
    <hyperlink ref="D882" r:id="rId_hyperlink_753"/>
    <hyperlink ref="D883" r:id="rId_hyperlink_754"/>
    <hyperlink ref="D884" r:id="rId_hyperlink_755"/>
    <hyperlink ref="D885" r:id="rId_hyperlink_756"/>
    <hyperlink ref="D886" r:id="rId_hyperlink_757"/>
    <hyperlink ref="D887" r:id="rId_hyperlink_758"/>
    <hyperlink ref="D888" r:id="rId_hyperlink_759"/>
    <hyperlink ref="D889" r:id="rId_hyperlink_760"/>
    <hyperlink ref="D890" r:id="rId_hyperlink_761"/>
    <hyperlink ref="D891" r:id="rId_hyperlink_762"/>
    <hyperlink ref="D892" r:id="rId_hyperlink_763"/>
    <hyperlink ref="D893" r:id="rId_hyperlink_764"/>
    <hyperlink ref="D894" r:id="rId_hyperlink_765"/>
    <hyperlink ref="D895" r:id="rId_hyperlink_766"/>
    <hyperlink ref="D896" r:id="rId_hyperlink_767"/>
    <hyperlink ref="D897" r:id="rId_hyperlink_768"/>
    <hyperlink ref="D898" r:id="rId_hyperlink_769"/>
    <hyperlink ref="D899" r:id="rId_hyperlink_770"/>
    <hyperlink ref="D900" r:id="rId_hyperlink_771"/>
    <hyperlink ref="D901" r:id="rId_hyperlink_772"/>
    <hyperlink ref="D902" r:id="rId_hyperlink_773"/>
    <hyperlink ref="D903" r:id="rId_hyperlink_774"/>
    <hyperlink ref="D904" r:id="rId_hyperlink_775"/>
    <hyperlink ref="D905" r:id="rId_hyperlink_776"/>
    <hyperlink ref="D906" r:id="rId_hyperlink_777"/>
    <hyperlink ref="D907" r:id="rId_hyperlink_778"/>
    <hyperlink ref="D908" r:id="rId_hyperlink_779"/>
    <hyperlink ref="D909" r:id="rId_hyperlink_780"/>
    <hyperlink ref="D910" r:id="rId_hyperlink_781"/>
    <hyperlink ref="D911" r:id="rId_hyperlink_782"/>
    <hyperlink ref="D912" r:id="rId_hyperlink_783"/>
    <hyperlink ref="D913" r:id="rId_hyperlink_784"/>
    <hyperlink ref="D914" r:id="rId_hyperlink_785"/>
    <hyperlink ref="D915" r:id="rId_hyperlink_786"/>
    <hyperlink ref="D916" r:id="rId_hyperlink_787"/>
    <hyperlink ref="D917" r:id="rId_hyperlink_788"/>
    <hyperlink ref="D918" r:id="rId_hyperlink_789"/>
    <hyperlink ref="D919" r:id="rId_hyperlink_790"/>
    <hyperlink ref="D920" r:id="rId_hyperlink_791"/>
    <hyperlink ref="D921" r:id="rId_hyperlink_792"/>
    <hyperlink ref="D922" r:id="rId_hyperlink_793"/>
    <hyperlink ref="D923" r:id="rId_hyperlink_794"/>
    <hyperlink ref="D924" r:id="rId_hyperlink_795"/>
    <hyperlink ref="D925" r:id="rId_hyperlink_796"/>
    <hyperlink ref="D926" r:id="rId_hyperlink_797"/>
    <hyperlink ref="D927" r:id="rId_hyperlink_798"/>
    <hyperlink ref="D928" r:id="rId_hyperlink_799"/>
    <hyperlink ref="D929" r:id="rId_hyperlink_800"/>
    <hyperlink ref="D930" r:id="rId_hyperlink_801"/>
    <hyperlink ref="D931" r:id="rId_hyperlink_802"/>
    <hyperlink ref="D932" r:id="rId_hyperlink_803"/>
    <hyperlink ref="D933" r:id="rId_hyperlink_804"/>
    <hyperlink ref="D934" r:id="rId_hyperlink_805"/>
    <hyperlink ref="D935" r:id="rId_hyperlink_806"/>
    <hyperlink ref="D936" r:id="rId_hyperlink_807"/>
    <hyperlink ref="D937" r:id="rId_hyperlink_808"/>
    <hyperlink ref="D938" r:id="rId_hyperlink_809"/>
    <hyperlink ref="D939" r:id="rId_hyperlink_810"/>
    <hyperlink ref="D940" r:id="rId_hyperlink_811"/>
    <hyperlink ref="D941" r:id="rId_hyperlink_812"/>
    <hyperlink ref="D942" r:id="rId_hyperlink_813"/>
    <hyperlink ref="D943" r:id="rId_hyperlink_814"/>
    <hyperlink ref="D944" r:id="rId_hyperlink_815"/>
    <hyperlink ref="D945" r:id="rId_hyperlink_816"/>
    <hyperlink ref="D946" r:id="rId_hyperlink_817"/>
    <hyperlink ref="D947" r:id="rId_hyperlink_818"/>
    <hyperlink ref="D948" r:id="rId_hyperlink_819"/>
    <hyperlink ref="D949" r:id="rId_hyperlink_820"/>
    <hyperlink ref="D950" r:id="rId_hyperlink_821"/>
    <hyperlink ref="D952" r:id="rId_hyperlink_822"/>
    <hyperlink ref="D953" r:id="rId_hyperlink_823"/>
    <hyperlink ref="D954" r:id="rId_hyperlink_824"/>
    <hyperlink ref="D955" r:id="rId_hyperlink_825"/>
    <hyperlink ref="D956" r:id="rId_hyperlink_826"/>
    <hyperlink ref="D957" r:id="rId_hyperlink_827"/>
    <hyperlink ref="D958" r:id="rId_hyperlink_828"/>
    <hyperlink ref="D959" r:id="rId_hyperlink_829"/>
    <hyperlink ref="D960" r:id="rId_hyperlink_830"/>
    <hyperlink ref="D962" r:id="rId_hyperlink_831"/>
    <hyperlink ref="D963" r:id="rId_hyperlink_832"/>
    <hyperlink ref="D964" r:id="rId_hyperlink_833"/>
    <hyperlink ref="D965" r:id="rId_hyperlink_834"/>
    <hyperlink ref="D966" r:id="rId_hyperlink_835"/>
    <hyperlink ref="D967" r:id="rId_hyperlink_836"/>
    <hyperlink ref="D968" r:id="rId_hyperlink_837"/>
    <hyperlink ref="D969" r:id="rId_hyperlink_838"/>
    <hyperlink ref="D970" r:id="rId_hyperlink_839"/>
    <hyperlink ref="D971" r:id="rId_hyperlink_840"/>
    <hyperlink ref="D973" r:id="rId_hyperlink_841"/>
    <hyperlink ref="D974" r:id="rId_hyperlink_842"/>
    <hyperlink ref="D975" r:id="rId_hyperlink_843"/>
    <hyperlink ref="D976" r:id="rId_hyperlink_844"/>
    <hyperlink ref="D977" r:id="rId_hyperlink_845"/>
    <hyperlink ref="D978" r:id="rId_hyperlink_846"/>
    <hyperlink ref="D979" r:id="rId_hyperlink_847"/>
    <hyperlink ref="D980" r:id="rId_hyperlink_848"/>
    <hyperlink ref="D981" r:id="rId_hyperlink_849"/>
    <hyperlink ref="D982" r:id="rId_hyperlink_850"/>
    <hyperlink ref="D983" r:id="rId_hyperlink_851"/>
    <hyperlink ref="D984" r:id="rId_hyperlink_852"/>
    <hyperlink ref="D985" r:id="rId_hyperlink_853"/>
    <hyperlink ref="D986" r:id="rId_hyperlink_854"/>
    <hyperlink ref="D987" r:id="rId_hyperlink_855"/>
    <hyperlink ref="D988" r:id="rId_hyperlink_856"/>
    <hyperlink ref="D989" r:id="rId_hyperlink_857"/>
    <hyperlink ref="D990" r:id="rId_hyperlink_858"/>
    <hyperlink ref="D992" r:id="rId_hyperlink_859"/>
    <hyperlink ref="D993" r:id="rId_hyperlink_860"/>
    <hyperlink ref="D994" r:id="rId_hyperlink_861"/>
    <hyperlink ref="D995" r:id="rId_hyperlink_862"/>
    <hyperlink ref="D996" r:id="rId_hyperlink_863"/>
    <hyperlink ref="D997" r:id="rId_hyperlink_864"/>
    <hyperlink ref="D998" r:id="rId_hyperlink_865"/>
    <hyperlink ref="D999" r:id="rId_hyperlink_866"/>
    <hyperlink ref="D1000" r:id="rId_hyperlink_867"/>
    <hyperlink ref="D1001" r:id="rId_hyperlink_868"/>
    <hyperlink ref="D1002" r:id="rId_hyperlink_869"/>
    <hyperlink ref="D1003" r:id="rId_hyperlink_870"/>
    <hyperlink ref="D1004" r:id="rId_hyperlink_871"/>
    <hyperlink ref="D1005" r:id="rId_hyperlink_872"/>
    <hyperlink ref="D1006" r:id="rId_hyperlink_873"/>
    <hyperlink ref="D1007" r:id="rId_hyperlink_874"/>
    <hyperlink ref="D1008" r:id="rId_hyperlink_875"/>
    <hyperlink ref="D1009" r:id="rId_hyperlink_876"/>
    <hyperlink ref="D1010" r:id="rId_hyperlink_877"/>
    <hyperlink ref="D1011" r:id="rId_hyperlink_878"/>
    <hyperlink ref="D1012" r:id="rId_hyperlink_879"/>
    <hyperlink ref="D1013" r:id="rId_hyperlink_880"/>
    <hyperlink ref="D1014" r:id="rId_hyperlink_881"/>
    <hyperlink ref="D1015" r:id="rId_hyperlink_882"/>
    <hyperlink ref="D1016" r:id="rId_hyperlink_883"/>
    <hyperlink ref="D1017" r:id="rId_hyperlink_884"/>
    <hyperlink ref="D1018" r:id="rId_hyperlink_885"/>
    <hyperlink ref="D1019" r:id="rId_hyperlink_886"/>
    <hyperlink ref="D1020" r:id="rId_hyperlink_887"/>
    <hyperlink ref="D1021" r:id="rId_hyperlink_888"/>
    <hyperlink ref="D1022" r:id="rId_hyperlink_889"/>
    <hyperlink ref="D1023" r:id="rId_hyperlink_890"/>
    <hyperlink ref="D1024" r:id="rId_hyperlink_891"/>
    <hyperlink ref="D1025" r:id="rId_hyperlink_892"/>
    <hyperlink ref="D1026" r:id="rId_hyperlink_893"/>
    <hyperlink ref="D1027" r:id="rId_hyperlink_894"/>
    <hyperlink ref="D1028" r:id="rId_hyperlink_895"/>
    <hyperlink ref="D1029" r:id="rId_hyperlink_896"/>
    <hyperlink ref="D1030" r:id="rId_hyperlink_897"/>
    <hyperlink ref="D1031" r:id="rId_hyperlink_898"/>
    <hyperlink ref="D1032" r:id="rId_hyperlink_899"/>
    <hyperlink ref="D1033" r:id="rId_hyperlink_900"/>
    <hyperlink ref="D1034" r:id="rId_hyperlink_901"/>
    <hyperlink ref="D1035" r:id="rId_hyperlink_902"/>
    <hyperlink ref="D1036" r:id="rId_hyperlink_903"/>
    <hyperlink ref="D1037" r:id="rId_hyperlink_904"/>
    <hyperlink ref="D1038" r:id="rId_hyperlink_905"/>
    <hyperlink ref="D1039" r:id="rId_hyperlink_906"/>
    <hyperlink ref="D1040" r:id="rId_hyperlink_907"/>
    <hyperlink ref="D1041" r:id="rId_hyperlink_908"/>
    <hyperlink ref="D1042" r:id="rId_hyperlink_909"/>
    <hyperlink ref="D1043" r:id="rId_hyperlink_910"/>
    <hyperlink ref="D1044" r:id="rId_hyperlink_911"/>
    <hyperlink ref="D1045" r:id="rId_hyperlink_912"/>
    <hyperlink ref="D1046" r:id="rId_hyperlink_913"/>
    <hyperlink ref="D1048" r:id="rId_hyperlink_914"/>
    <hyperlink ref="D1049" r:id="rId_hyperlink_915"/>
    <hyperlink ref="D1050" r:id="rId_hyperlink_916"/>
    <hyperlink ref="D1051" r:id="rId_hyperlink_917"/>
    <hyperlink ref="D1052" r:id="rId_hyperlink_918"/>
    <hyperlink ref="D1053" r:id="rId_hyperlink_919"/>
    <hyperlink ref="D1057" r:id="rId_hyperlink_920"/>
    <hyperlink ref="D1058" r:id="rId_hyperlink_921"/>
    <hyperlink ref="D1059" r:id="rId_hyperlink_922"/>
    <hyperlink ref="D1060" r:id="rId_hyperlink_923"/>
    <hyperlink ref="D1061" r:id="rId_hyperlink_924"/>
    <hyperlink ref="D1062" r:id="rId_hyperlink_925"/>
    <hyperlink ref="D1063" r:id="rId_hyperlink_926"/>
    <hyperlink ref="D1064" r:id="rId_hyperlink_927"/>
    <hyperlink ref="D1065" r:id="rId_hyperlink_928"/>
    <hyperlink ref="D1066" r:id="rId_hyperlink_929"/>
    <hyperlink ref="D1067" r:id="rId_hyperlink_930"/>
    <hyperlink ref="D1068" r:id="rId_hyperlink_931"/>
    <hyperlink ref="D1069" r:id="rId_hyperlink_932"/>
    <hyperlink ref="D1070" r:id="rId_hyperlink_933"/>
    <hyperlink ref="D1071" r:id="rId_hyperlink_934"/>
    <hyperlink ref="D1072" r:id="rId_hyperlink_935"/>
    <hyperlink ref="D1073" r:id="rId_hyperlink_936"/>
    <hyperlink ref="D1074" r:id="rId_hyperlink_937"/>
    <hyperlink ref="D1075" r:id="rId_hyperlink_938"/>
    <hyperlink ref="D1076" r:id="rId_hyperlink_939"/>
    <hyperlink ref="D1077" r:id="rId_hyperlink_940"/>
    <hyperlink ref="D1080" r:id="rId_hyperlink_941"/>
    <hyperlink ref="D1081" r:id="rId_hyperlink_942"/>
    <hyperlink ref="D1082" r:id="rId_hyperlink_943"/>
    <hyperlink ref="D1083" r:id="rId_hyperlink_944"/>
    <hyperlink ref="D1084" r:id="rId_hyperlink_945"/>
    <hyperlink ref="D1085" r:id="rId_hyperlink_946"/>
    <hyperlink ref="D1086" r:id="rId_hyperlink_947"/>
    <hyperlink ref="D1087" r:id="rId_hyperlink_948"/>
    <hyperlink ref="D1088" r:id="rId_hyperlink_949"/>
    <hyperlink ref="D1089" r:id="rId_hyperlink_950"/>
    <hyperlink ref="D1090" r:id="rId_hyperlink_951"/>
    <hyperlink ref="D1091" r:id="rId_hyperlink_952"/>
    <hyperlink ref="D1092" r:id="rId_hyperlink_953"/>
    <hyperlink ref="D1093" r:id="rId_hyperlink_954"/>
    <hyperlink ref="D1094" r:id="rId_hyperlink_955"/>
    <hyperlink ref="D1095" r:id="rId_hyperlink_956"/>
    <hyperlink ref="D1096" r:id="rId_hyperlink_957"/>
    <hyperlink ref="D1097" r:id="rId_hyperlink_958"/>
    <hyperlink ref="D1098" r:id="rId_hyperlink_959"/>
    <hyperlink ref="D1099" r:id="rId_hyperlink_960"/>
    <hyperlink ref="D1100" r:id="rId_hyperlink_961"/>
    <hyperlink ref="D1101" r:id="rId_hyperlink_962"/>
    <hyperlink ref="D1102" r:id="rId_hyperlink_963"/>
    <hyperlink ref="D1103" r:id="rId_hyperlink_964"/>
    <hyperlink ref="D1104" r:id="rId_hyperlink_965"/>
    <hyperlink ref="D1105" r:id="rId_hyperlink_966"/>
    <hyperlink ref="D1106" r:id="rId_hyperlink_967"/>
    <hyperlink ref="D1107" r:id="rId_hyperlink_968"/>
    <hyperlink ref="D1108" r:id="rId_hyperlink_969"/>
    <hyperlink ref="D1109" r:id="rId_hyperlink_970"/>
    <hyperlink ref="D1110" r:id="rId_hyperlink_971"/>
    <hyperlink ref="D1111" r:id="rId_hyperlink_972"/>
    <hyperlink ref="D1112" r:id="rId_hyperlink_973"/>
    <hyperlink ref="D1113" r:id="rId_hyperlink_974"/>
    <hyperlink ref="D1114" r:id="rId_hyperlink_975"/>
    <hyperlink ref="D1115" r:id="rId_hyperlink_976"/>
    <hyperlink ref="D1116" r:id="rId_hyperlink_977"/>
    <hyperlink ref="D1117" r:id="rId_hyperlink_978"/>
    <hyperlink ref="D1118" r:id="rId_hyperlink_979"/>
    <hyperlink ref="D1119" r:id="rId_hyperlink_980"/>
    <hyperlink ref="D1120" r:id="rId_hyperlink_981"/>
    <hyperlink ref="D1121" r:id="rId_hyperlink_982"/>
    <hyperlink ref="D1122" r:id="rId_hyperlink_983"/>
    <hyperlink ref="D1123" r:id="rId_hyperlink_984"/>
    <hyperlink ref="D1124" r:id="rId_hyperlink_985"/>
    <hyperlink ref="D1125" r:id="rId_hyperlink_986"/>
    <hyperlink ref="D1126" r:id="rId_hyperlink_987"/>
    <hyperlink ref="D1127" r:id="rId_hyperlink_988"/>
    <hyperlink ref="D1128" r:id="rId_hyperlink_989"/>
    <hyperlink ref="D1129" r:id="rId_hyperlink_990"/>
    <hyperlink ref="D1130" r:id="rId_hyperlink_991"/>
    <hyperlink ref="D1131" r:id="rId_hyperlink_992"/>
    <hyperlink ref="D1132" r:id="rId_hyperlink_993"/>
    <hyperlink ref="D1133" r:id="rId_hyperlink_994"/>
    <hyperlink ref="D1134" r:id="rId_hyperlink_995"/>
    <hyperlink ref="D1136" r:id="rId_hyperlink_996"/>
    <hyperlink ref="D1137" r:id="rId_hyperlink_997"/>
    <hyperlink ref="D1138" r:id="rId_hyperlink_998"/>
    <hyperlink ref="D1139" r:id="rId_hyperlink_999"/>
    <hyperlink ref="D1140" r:id="rId_hyperlink_1000"/>
    <hyperlink ref="D1141" r:id="rId_hyperlink_1001"/>
    <hyperlink ref="D1142" r:id="rId_hyperlink_1002"/>
    <hyperlink ref="D1143" r:id="rId_hyperlink_1003"/>
    <hyperlink ref="D1144" r:id="rId_hyperlink_1004"/>
    <hyperlink ref="D1145" r:id="rId_hyperlink_1005"/>
    <hyperlink ref="D1146" r:id="rId_hyperlink_1006"/>
    <hyperlink ref="D1147" r:id="rId_hyperlink_1007"/>
    <hyperlink ref="D1148" r:id="rId_hyperlink_1008"/>
    <hyperlink ref="D1149" r:id="rId_hyperlink_1009"/>
    <hyperlink ref="D1150" r:id="rId_hyperlink_1010"/>
    <hyperlink ref="D1151" r:id="rId_hyperlink_1011"/>
    <hyperlink ref="D1152" r:id="rId_hyperlink_1012"/>
    <hyperlink ref="D1153" r:id="rId_hyperlink_1013"/>
    <hyperlink ref="D1154" r:id="rId_hyperlink_1014"/>
    <hyperlink ref="D1155" r:id="rId_hyperlink_1015"/>
    <hyperlink ref="D1156" r:id="rId_hyperlink_1016"/>
    <hyperlink ref="D1157" r:id="rId_hyperlink_1017"/>
    <hyperlink ref="D1158" r:id="rId_hyperlink_1018"/>
    <hyperlink ref="D1159" r:id="rId_hyperlink_1019"/>
    <hyperlink ref="D1160" r:id="rId_hyperlink_1020"/>
    <hyperlink ref="D1161" r:id="rId_hyperlink_1021"/>
    <hyperlink ref="D1162" r:id="rId_hyperlink_1022"/>
    <hyperlink ref="D1163" r:id="rId_hyperlink_1023"/>
    <hyperlink ref="D1164" r:id="rId_hyperlink_1024"/>
    <hyperlink ref="D1165" r:id="rId_hyperlink_1025"/>
    <hyperlink ref="D1166" r:id="rId_hyperlink_1026"/>
    <hyperlink ref="D1167" r:id="rId_hyperlink_1027"/>
    <hyperlink ref="D1168" r:id="rId_hyperlink_1028"/>
    <hyperlink ref="D1169" r:id="rId_hyperlink_1029"/>
    <hyperlink ref="D1170" r:id="rId_hyperlink_1030"/>
    <hyperlink ref="D1171" r:id="rId_hyperlink_1031"/>
    <hyperlink ref="D1172" r:id="rId_hyperlink_1032"/>
    <hyperlink ref="D1173" r:id="rId_hyperlink_1033"/>
    <hyperlink ref="D1174" r:id="rId_hyperlink_1034"/>
    <hyperlink ref="D1175" r:id="rId_hyperlink_1035"/>
    <hyperlink ref="D1176" r:id="rId_hyperlink_1036"/>
    <hyperlink ref="D1177" r:id="rId_hyperlink_1037"/>
    <hyperlink ref="D1178" r:id="rId_hyperlink_1038"/>
    <hyperlink ref="D1179" r:id="rId_hyperlink_1039"/>
    <hyperlink ref="D1180" r:id="rId_hyperlink_1040"/>
    <hyperlink ref="D1181" r:id="rId_hyperlink_1041"/>
    <hyperlink ref="D1182" r:id="rId_hyperlink_1042"/>
    <hyperlink ref="D1183" r:id="rId_hyperlink_1043"/>
    <hyperlink ref="D1184" r:id="rId_hyperlink_1044"/>
    <hyperlink ref="D1185" r:id="rId_hyperlink_1045"/>
    <hyperlink ref="D1186" r:id="rId_hyperlink_1046"/>
    <hyperlink ref="D1187" r:id="rId_hyperlink_1047"/>
    <hyperlink ref="D1188" r:id="rId_hyperlink_1048"/>
    <hyperlink ref="D1189" r:id="rId_hyperlink_1049"/>
    <hyperlink ref="D1190" r:id="rId_hyperlink_1050"/>
    <hyperlink ref="D1191" r:id="rId_hyperlink_1051"/>
    <hyperlink ref="D1192" r:id="rId_hyperlink_1052"/>
    <hyperlink ref="D1193" r:id="rId_hyperlink_1053"/>
    <hyperlink ref="D1194" r:id="rId_hyperlink_1054"/>
    <hyperlink ref="D1195" r:id="rId_hyperlink_1055"/>
    <hyperlink ref="D1196" r:id="rId_hyperlink_1056"/>
    <hyperlink ref="D1197" r:id="rId_hyperlink_1057"/>
    <hyperlink ref="D1198" r:id="rId_hyperlink_1058"/>
    <hyperlink ref="D1199" r:id="rId_hyperlink_1059"/>
    <hyperlink ref="D1200" r:id="rId_hyperlink_1060"/>
    <hyperlink ref="D1201" r:id="rId_hyperlink_1061"/>
    <hyperlink ref="D1202" r:id="rId_hyperlink_1062"/>
    <hyperlink ref="D1203" r:id="rId_hyperlink_1063"/>
    <hyperlink ref="D1204" r:id="rId_hyperlink_1064"/>
    <hyperlink ref="D1205" r:id="rId_hyperlink_1065"/>
    <hyperlink ref="D1206" r:id="rId_hyperlink_1066"/>
    <hyperlink ref="D1207" r:id="rId_hyperlink_1067"/>
    <hyperlink ref="D1208" r:id="rId_hyperlink_1068"/>
    <hyperlink ref="D1209" r:id="rId_hyperlink_1069"/>
    <hyperlink ref="D1210" r:id="rId_hyperlink_1070"/>
    <hyperlink ref="D1211" r:id="rId_hyperlink_1071"/>
    <hyperlink ref="D1212" r:id="rId_hyperlink_1072"/>
    <hyperlink ref="D1213" r:id="rId_hyperlink_1073"/>
    <hyperlink ref="D1214" r:id="rId_hyperlink_1074"/>
    <hyperlink ref="D1215" r:id="rId_hyperlink_1075"/>
    <hyperlink ref="D1216" r:id="rId_hyperlink_1076"/>
    <hyperlink ref="D1217" r:id="rId_hyperlink_1077"/>
    <hyperlink ref="D1218" r:id="rId_hyperlink_1078"/>
    <hyperlink ref="D1219" r:id="rId_hyperlink_1079"/>
    <hyperlink ref="D1220" r:id="rId_hyperlink_1080"/>
    <hyperlink ref="D1221" r:id="rId_hyperlink_1081"/>
    <hyperlink ref="D1222" r:id="rId_hyperlink_1082"/>
    <hyperlink ref="D1223" r:id="rId_hyperlink_1083"/>
    <hyperlink ref="D1224" r:id="rId_hyperlink_1084"/>
    <hyperlink ref="D1225" r:id="rId_hyperlink_1085"/>
    <hyperlink ref="D1226" r:id="rId_hyperlink_1086"/>
    <hyperlink ref="D1227" r:id="rId_hyperlink_1087"/>
    <hyperlink ref="D1228" r:id="rId_hyperlink_1088"/>
    <hyperlink ref="D1229" r:id="rId_hyperlink_1089"/>
    <hyperlink ref="D1230" r:id="rId_hyperlink_1090"/>
    <hyperlink ref="D1231" r:id="rId_hyperlink_1091"/>
    <hyperlink ref="D1232" r:id="rId_hyperlink_1092"/>
    <hyperlink ref="D1233" r:id="rId_hyperlink_1093"/>
    <hyperlink ref="D1234" r:id="rId_hyperlink_1094"/>
    <hyperlink ref="D1236" r:id="rId_hyperlink_1095"/>
    <hyperlink ref="D1237" r:id="rId_hyperlink_1096"/>
    <hyperlink ref="D1238" r:id="rId_hyperlink_1097"/>
    <hyperlink ref="D1239" r:id="rId_hyperlink_1098"/>
    <hyperlink ref="D1240" r:id="rId_hyperlink_1099"/>
    <hyperlink ref="D1241" r:id="rId_hyperlink_1100"/>
    <hyperlink ref="D1242" r:id="rId_hyperlink_1101"/>
    <hyperlink ref="D1243" r:id="rId_hyperlink_1102"/>
    <hyperlink ref="D1244" r:id="rId_hyperlink_1103"/>
    <hyperlink ref="D1245" r:id="rId_hyperlink_1104"/>
    <hyperlink ref="D1246" r:id="rId_hyperlink_1105"/>
    <hyperlink ref="D1247" r:id="rId_hyperlink_1106"/>
    <hyperlink ref="D1248" r:id="rId_hyperlink_1107"/>
    <hyperlink ref="D1249" r:id="rId_hyperlink_1108"/>
    <hyperlink ref="D1250" r:id="rId_hyperlink_1109"/>
    <hyperlink ref="D1251" r:id="rId_hyperlink_1110"/>
    <hyperlink ref="D1252" r:id="rId_hyperlink_1111"/>
    <hyperlink ref="D1253" r:id="rId_hyperlink_1112"/>
    <hyperlink ref="D1254" r:id="rId_hyperlink_1113"/>
    <hyperlink ref="D1255" r:id="rId_hyperlink_1114"/>
    <hyperlink ref="D1256" r:id="rId_hyperlink_1115"/>
    <hyperlink ref="D1257" r:id="rId_hyperlink_1116"/>
    <hyperlink ref="D1258" r:id="rId_hyperlink_1117"/>
    <hyperlink ref="D1259" r:id="rId_hyperlink_1118"/>
    <hyperlink ref="D1260" r:id="rId_hyperlink_1119"/>
    <hyperlink ref="D1261" r:id="rId_hyperlink_1120"/>
    <hyperlink ref="D1262" r:id="rId_hyperlink_1121"/>
    <hyperlink ref="D1263" r:id="rId_hyperlink_1122"/>
    <hyperlink ref="D1264" r:id="rId_hyperlink_1123"/>
    <hyperlink ref="D1265" r:id="rId_hyperlink_1124"/>
    <hyperlink ref="D1266" r:id="rId_hyperlink_1125"/>
    <hyperlink ref="D1267" r:id="rId_hyperlink_1126"/>
    <hyperlink ref="D1268" r:id="rId_hyperlink_1127"/>
    <hyperlink ref="D1269" r:id="rId_hyperlink_1128"/>
    <hyperlink ref="D1270" r:id="rId_hyperlink_1129"/>
    <hyperlink ref="D1271" r:id="rId_hyperlink_1130"/>
    <hyperlink ref="D1272" r:id="rId_hyperlink_1131"/>
    <hyperlink ref="D1273" r:id="rId_hyperlink_1132"/>
    <hyperlink ref="D1274" r:id="rId_hyperlink_1133"/>
    <hyperlink ref="D1275" r:id="rId_hyperlink_1134"/>
    <hyperlink ref="D1276" r:id="rId_hyperlink_1135"/>
    <hyperlink ref="D1277" r:id="rId_hyperlink_1136"/>
    <hyperlink ref="D1278" r:id="rId_hyperlink_1137"/>
    <hyperlink ref="D1279" r:id="rId_hyperlink_1138"/>
    <hyperlink ref="D1280" r:id="rId_hyperlink_1139"/>
    <hyperlink ref="D1281" r:id="rId_hyperlink_1140"/>
    <hyperlink ref="D1282" r:id="rId_hyperlink_1141"/>
    <hyperlink ref="D1283" r:id="rId_hyperlink_1142"/>
    <hyperlink ref="D1284" r:id="rId_hyperlink_1143"/>
    <hyperlink ref="D1285" r:id="rId_hyperlink_1144"/>
    <hyperlink ref="D1286" r:id="rId_hyperlink_1145"/>
    <hyperlink ref="D1287" r:id="rId_hyperlink_1146"/>
    <hyperlink ref="D1288" r:id="rId_hyperlink_1147"/>
    <hyperlink ref="D1289" r:id="rId_hyperlink_1148"/>
    <hyperlink ref="D1290" r:id="rId_hyperlink_1149"/>
    <hyperlink ref="D1291" r:id="rId_hyperlink_1150"/>
    <hyperlink ref="D1292" r:id="rId_hyperlink_1151"/>
    <hyperlink ref="D1293" r:id="rId_hyperlink_1152"/>
    <hyperlink ref="D1294" r:id="rId_hyperlink_1153"/>
    <hyperlink ref="D1295" r:id="rId_hyperlink_1154"/>
    <hyperlink ref="D1296" r:id="rId_hyperlink_1155"/>
    <hyperlink ref="D1297" r:id="rId_hyperlink_1156"/>
    <hyperlink ref="D1298" r:id="rId_hyperlink_1157"/>
    <hyperlink ref="D1299" r:id="rId_hyperlink_1158"/>
    <hyperlink ref="D1301" r:id="rId_hyperlink_1159"/>
    <hyperlink ref="D1302" r:id="rId_hyperlink_1160"/>
    <hyperlink ref="D1304" r:id="rId_hyperlink_1161"/>
    <hyperlink ref="D1305" r:id="rId_hyperlink_1162"/>
    <hyperlink ref="D1308" r:id="rId_hyperlink_1163"/>
    <hyperlink ref="D1309" r:id="rId_hyperlink_1164"/>
    <hyperlink ref="D1310" r:id="rId_hyperlink_1165"/>
    <hyperlink ref="D1311" r:id="rId_hyperlink_1166"/>
    <hyperlink ref="D1312" r:id="rId_hyperlink_1167"/>
    <hyperlink ref="D1313" r:id="rId_hyperlink_1168"/>
    <hyperlink ref="D1314" r:id="rId_hyperlink_1169"/>
    <hyperlink ref="D1315" r:id="rId_hyperlink_1170"/>
    <hyperlink ref="D1316" r:id="rId_hyperlink_1171"/>
    <hyperlink ref="D1317" r:id="rId_hyperlink_1172"/>
    <hyperlink ref="D1319" r:id="rId_hyperlink_1173"/>
    <hyperlink ref="D1320" r:id="rId_hyperlink_1174"/>
    <hyperlink ref="D1321" r:id="rId_hyperlink_1175"/>
    <hyperlink ref="D1324" r:id="rId_hyperlink_1176"/>
    <hyperlink ref="D1325" r:id="rId_hyperlink_1177"/>
    <hyperlink ref="D1326" r:id="rId_hyperlink_1178"/>
    <hyperlink ref="D1327" r:id="rId_hyperlink_1179"/>
    <hyperlink ref="D1328" r:id="rId_hyperlink_1180"/>
    <hyperlink ref="D1330" r:id="rId_hyperlink_1181"/>
    <hyperlink ref="D1331" r:id="rId_hyperlink_1182"/>
    <hyperlink ref="D1332" r:id="rId_hyperlink_1183"/>
    <hyperlink ref="D1333" r:id="rId_hyperlink_1184"/>
    <hyperlink ref="D1335" r:id="rId_hyperlink_1185"/>
    <hyperlink ref="D1336" r:id="rId_hyperlink_1186"/>
    <hyperlink ref="D1337" r:id="rId_hyperlink_1187"/>
    <hyperlink ref="D1338" r:id="rId_hyperlink_1188"/>
    <hyperlink ref="D1339" r:id="rId_hyperlink_1189"/>
    <hyperlink ref="D1340" r:id="rId_hyperlink_1190"/>
    <hyperlink ref="D1341" r:id="rId_hyperlink_1191"/>
    <hyperlink ref="D1342" r:id="rId_hyperlink_1192"/>
    <hyperlink ref="D1343" r:id="rId_hyperlink_1193"/>
    <hyperlink ref="D1345" r:id="rId_hyperlink_1194"/>
    <hyperlink ref="D1348" r:id="rId_hyperlink_1195"/>
    <hyperlink ref="D1349" r:id="rId_hyperlink_1196"/>
    <hyperlink ref="D1350" r:id="rId_hyperlink_1197"/>
    <hyperlink ref="D1351" r:id="rId_hyperlink_1198"/>
    <hyperlink ref="D1352" r:id="rId_hyperlink_1199"/>
    <hyperlink ref="D1353" r:id="rId_hyperlink_1200"/>
    <hyperlink ref="D1354" r:id="rId_hyperlink_1201"/>
    <hyperlink ref="D1355" r:id="rId_hyperlink_1202"/>
    <hyperlink ref="D1356" r:id="rId_hyperlink_1203"/>
    <hyperlink ref="D1357" r:id="rId_hyperlink_1204"/>
    <hyperlink ref="D1359" r:id="rId_hyperlink_1205"/>
    <hyperlink ref="D1360" r:id="rId_hyperlink_1206"/>
    <hyperlink ref="D1363" r:id="rId_hyperlink_1207"/>
    <hyperlink ref="D1364" r:id="rId_hyperlink_1208"/>
    <hyperlink ref="D1365" r:id="rId_hyperlink_1209"/>
    <hyperlink ref="D1366" r:id="rId_hyperlink_1210"/>
    <hyperlink ref="D1367" r:id="rId_hyperlink_1211"/>
    <hyperlink ref="D1369" r:id="rId_hyperlink_1212"/>
    <hyperlink ref="D1370" r:id="rId_hyperlink_1213"/>
    <hyperlink ref="D1371" r:id="rId_hyperlink_1214"/>
    <hyperlink ref="D1372" r:id="rId_hyperlink_1215"/>
    <hyperlink ref="D1373" r:id="rId_hyperlink_1216"/>
    <hyperlink ref="D1375" r:id="rId_hyperlink_1217"/>
    <hyperlink ref="D1377" r:id="rId_hyperlink_1218"/>
    <hyperlink ref="D1378" r:id="rId_hyperlink_1219"/>
    <hyperlink ref="D1379" r:id="rId_hyperlink_1220"/>
    <hyperlink ref="D1382" r:id="rId_hyperlink_1221"/>
    <hyperlink ref="D1383" r:id="rId_hyperlink_1222"/>
    <hyperlink ref="D1384" r:id="rId_hyperlink_1223"/>
    <hyperlink ref="D1385" r:id="rId_hyperlink_1224"/>
    <hyperlink ref="D1386" r:id="rId_hyperlink_1225"/>
    <hyperlink ref="D1387" r:id="rId_hyperlink_1226"/>
    <hyperlink ref="D1388" r:id="rId_hyperlink_1227"/>
    <hyperlink ref="D1389" r:id="rId_hyperlink_1228"/>
    <hyperlink ref="D1390" r:id="rId_hyperlink_1229"/>
    <hyperlink ref="D1391" r:id="rId_hyperlink_1230"/>
    <hyperlink ref="D1392" r:id="rId_hyperlink_1231"/>
    <hyperlink ref="D1393" r:id="rId_hyperlink_1232"/>
    <hyperlink ref="D1394" r:id="rId_hyperlink_1233"/>
    <hyperlink ref="D1395" r:id="rId_hyperlink_1234"/>
    <hyperlink ref="D1396" r:id="rId_hyperlink_1235"/>
    <hyperlink ref="D1397" r:id="rId_hyperlink_1236"/>
    <hyperlink ref="D1398" r:id="rId_hyperlink_1237"/>
    <hyperlink ref="D1399" r:id="rId_hyperlink_1238"/>
    <hyperlink ref="D1400" r:id="rId_hyperlink_1239"/>
    <hyperlink ref="D1401" r:id="rId_hyperlink_1240"/>
    <hyperlink ref="D1402" r:id="rId_hyperlink_1241"/>
    <hyperlink ref="D1403" r:id="rId_hyperlink_1242"/>
    <hyperlink ref="D1404" r:id="rId_hyperlink_1243"/>
    <hyperlink ref="D1405" r:id="rId_hyperlink_1244"/>
    <hyperlink ref="D1406" r:id="rId_hyperlink_1245"/>
    <hyperlink ref="D1407" r:id="rId_hyperlink_1246"/>
    <hyperlink ref="D1408" r:id="rId_hyperlink_1247"/>
    <hyperlink ref="D1409" r:id="rId_hyperlink_1248"/>
    <hyperlink ref="D1410" r:id="rId_hyperlink_1249"/>
    <hyperlink ref="D1411" r:id="rId_hyperlink_1250"/>
    <hyperlink ref="D1412" r:id="rId_hyperlink_1251"/>
    <hyperlink ref="D1413" r:id="rId_hyperlink_1252"/>
    <hyperlink ref="D1414" r:id="rId_hyperlink_1253"/>
    <hyperlink ref="D1415" r:id="rId_hyperlink_1254"/>
    <hyperlink ref="D1416" r:id="rId_hyperlink_1255"/>
    <hyperlink ref="D1419" r:id="rId_hyperlink_1256"/>
    <hyperlink ref="D1420" r:id="rId_hyperlink_1257"/>
    <hyperlink ref="D1421" r:id="rId_hyperlink_1258"/>
    <hyperlink ref="D1422" r:id="rId_hyperlink_1259"/>
    <hyperlink ref="D1423" r:id="rId_hyperlink_1260"/>
    <hyperlink ref="D1424" r:id="rId_hyperlink_1261"/>
    <hyperlink ref="D1425" r:id="rId_hyperlink_1262"/>
    <hyperlink ref="D1426" r:id="rId_hyperlink_1263"/>
    <hyperlink ref="D1427" r:id="rId_hyperlink_1264"/>
    <hyperlink ref="D1428" r:id="rId_hyperlink_1265"/>
    <hyperlink ref="D1429" r:id="rId_hyperlink_1266"/>
    <hyperlink ref="D1430" r:id="rId_hyperlink_1267"/>
    <hyperlink ref="D1431" r:id="rId_hyperlink_1268"/>
    <hyperlink ref="D1432" r:id="rId_hyperlink_1269"/>
    <hyperlink ref="D1433" r:id="rId_hyperlink_1270"/>
    <hyperlink ref="D1434" r:id="rId_hyperlink_1271"/>
    <hyperlink ref="D1435" r:id="rId_hyperlink_1272"/>
    <hyperlink ref="D1437" r:id="rId_hyperlink_1273"/>
    <hyperlink ref="D1438" r:id="rId_hyperlink_1274"/>
    <hyperlink ref="D1439" r:id="rId_hyperlink_1275"/>
    <hyperlink ref="D1440" r:id="rId_hyperlink_1276"/>
    <hyperlink ref="D1441" r:id="rId_hyperlink_1277"/>
    <hyperlink ref="D1442" r:id="rId_hyperlink_1278"/>
    <hyperlink ref="D1446" r:id="rId_hyperlink_1279"/>
    <hyperlink ref="D1447" r:id="rId_hyperlink_1280"/>
    <hyperlink ref="D1448" r:id="rId_hyperlink_1281"/>
    <hyperlink ref="D1449" r:id="rId_hyperlink_1282"/>
    <hyperlink ref="D1450" r:id="rId_hyperlink_1283"/>
    <hyperlink ref="D1451" r:id="rId_hyperlink_1284"/>
    <hyperlink ref="D1453" r:id="rId_hyperlink_1285"/>
    <hyperlink ref="D1454" r:id="rId_hyperlink_1286"/>
    <hyperlink ref="D1455" r:id="rId_hyperlink_1287"/>
    <hyperlink ref="D1456" r:id="rId_hyperlink_1288"/>
    <hyperlink ref="D1457" r:id="rId_hyperlink_1289"/>
    <hyperlink ref="D1458" r:id="rId_hyperlink_1290"/>
    <hyperlink ref="D1459" r:id="rId_hyperlink_1291"/>
    <hyperlink ref="D1460" r:id="rId_hyperlink_1292"/>
    <hyperlink ref="D1461" r:id="rId_hyperlink_1293"/>
    <hyperlink ref="D1462" r:id="rId_hyperlink_1294"/>
    <hyperlink ref="D1463" r:id="rId_hyperlink_1295"/>
    <hyperlink ref="D1464" r:id="rId_hyperlink_1296"/>
    <hyperlink ref="D1465" r:id="rId_hyperlink_1297"/>
    <hyperlink ref="D1466" r:id="rId_hyperlink_1298"/>
    <hyperlink ref="D1467" r:id="rId_hyperlink_1299"/>
    <hyperlink ref="D1468" r:id="rId_hyperlink_1300"/>
    <hyperlink ref="D1469" r:id="rId_hyperlink_1301"/>
    <hyperlink ref="D1470" r:id="rId_hyperlink_1302"/>
    <hyperlink ref="D1471" r:id="rId_hyperlink_1303"/>
    <hyperlink ref="D1472" r:id="rId_hyperlink_1304"/>
    <hyperlink ref="D1473" r:id="rId_hyperlink_1305"/>
    <hyperlink ref="D1474" r:id="rId_hyperlink_1306"/>
    <hyperlink ref="D1475" r:id="rId_hyperlink_1307"/>
    <hyperlink ref="D1476" r:id="rId_hyperlink_1308"/>
    <hyperlink ref="D1477" r:id="rId_hyperlink_1309"/>
    <hyperlink ref="D1478" r:id="rId_hyperlink_1310"/>
    <hyperlink ref="D1479" r:id="rId_hyperlink_1311"/>
    <hyperlink ref="D1480" r:id="rId_hyperlink_1312"/>
    <hyperlink ref="D1481" r:id="rId_hyperlink_1313"/>
    <hyperlink ref="D1482" r:id="rId_hyperlink_1314"/>
    <hyperlink ref="D1484" r:id="rId_hyperlink_1315"/>
    <hyperlink ref="D1485" r:id="rId_hyperlink_1316"/>
    <hyperlink ref="D1486" r:id="rId_hyperlink_1317"/>
    <hyperlink ref="D1487" r:id="rId_hyperlink_1318"/>
    <hyperlink ref="D1488" r:id="rId_hyperlink_1319"/>
    <hyperlink ref="D1489" r:id="rId_hyperlink_1320"/>
    <hyperlink ref="D1490" r:id="rId_hyperlink_1321"/>
    <hyperlink ref="D1491" r:id="rId_hyperlink_1322"/>
    <hyperlink ref="D1492" r:id="rId_hyperlink_1323"/>
    <hyperlink ref="D1493" r:id="rId_hyperlink_1324"/>
    <hyperlink ref="D1494" r:id="rId_hyperlink_1325"/>
    <hyperlink ref="D1495" r:id="rId_hyperlink_1326"/>
    <hyperlink ref="D1496" r:id="rId_hyperlink_1327"/>
    <hyperlink ref="D1498" r:id="rId_hyperlink_1328"/>
    <hyperlink ref="D1500" r:id="rId_hyperlink_1329"/>
    <hyperlink ref="D1501" r:id="rId_hyperlink_1330"/>
    <hyperlink ref="D1503" r:id="rId_hyperlink_1331"/>
    <hyperlink ref="D1504" r:id="rId_hyperlink_1332"/>
    <hyperlink ref="D1505" r:id="rId_hyperlink_1333"/>
    <hyperlink ref="D1506" r:id="rId_hyperlink_1334"/>
    <hyperlink ref="D1507" r:id="rId_hyperlink_1335"/>
    <hyperlink ref="D1508" r:id="rId_hyperlink_1336"/>
    <hyperlink ref="D1509" r:id="rId_hyperlink_1337"/>
    <hyperlink ref="D1510" r:id="rId_hyperlink_1338"/>
    <hyperlink ref="D1511" r:id="rId_hyperlink_1339"/>
    <hyperlink ref="D1513" r:id="rId_hyperlink_1340"/>
    <hyperlink ref="D1514" r:id="rId_hyperlink_1341"/>
    <hyperlink ref="D1515" r:id="rId_hyperlink_1342"/>
    <hyperlink ref="D1516" r:id="rId_hyperlink_1343"/>
    <hyperlink ref="D1517" r:id="rId_hyperlink_1344"/>
    <hyperlink ref="D1518" r:id="rId_hyperlink_1345"/>
    <hyperlink ref="D1519" r:id="rId_hyperlink_1346"/>
    <hyperlink ref="D1520" r:id="rId_hyperlink_1347"/>
    <hyperlink ref="D1521" r:id="rId_hyperlink_1348"/>
    <hyperlink ref="D1522" r:id="rId_hyperlink_1349"/>
    <hyperlink ref="D1523" r:id="rId_hyperlink_1350"/>
    <hyperlink ref="D1524" r:id="rId_hyperlink_1351"/>
    <hyperlink ref="D1525" r:id="rId_hyperlink_1352"/>
    <hyperlink ref="D1526" r:id="rId_hyperlink_1353"/>
    <hyperlink ref="D1527" r:id="rId_hyperlink_1354"/>
    <hyperlink ref="D1529" r:id="rId_hyperlink_1355"/>
    <hyperlink ref="D1530" r:id="rId_hyperlink_1356"/>
    <hyperlink ref="D1531" r:id="rId_hyperlink_1357"/>
    <hyperlink ref="D1532" r:id="rId_hyperlink_1358"/>
    <hyperlink ref="D1533" r:id="rId_hyperlink_1359"/>
    <hyperlink ref="D1534" r:id="rId_hyperlink_1360"/>
    <hyperlink ref="D1535" r:id="rId_hyperlink_1361"/>
    <hyperlink ref="D1536" r:id="rId_hyperlink_1362"/>
    <hyperlink ref="D1537" r:id="rId_hyperlink_1363"/>
    <hyperlink ref="D1538" r:id="rId_hyperlink_1364"/>
    <hyperlink ref="D1539" r:id="rId_hyperlink_1365"/>
    <hyperlink ref="D1540" r:id="rId_hyperlink_1366"/>
    <hyperlink ref="D1541" r:id="rId_hyperlink_1367"/>
    <hyperlink ref="D1542" r:id="rId_hyperlink_1368"/>
    <hyperlink ref="D1543" r:id="rId_hyperlink_1369"/>
    <hyperlink ref="D1544" r:id="rId_hyperlink_1370"/>
    <hyperlink ref="D1545" r:id="rId_hyperlink_1371"/>
    <hyperlink ref="D1546" r:id="rId_hyperlink_1372"/>
    <hyperlink ref="D1547" r:id="rId_hyperlink_1373"/>
    <hyperlink ref="D1548" r:id="rId_hyperlink_1374"/>
    <hyperlink ref="D1549" r:id="rId_hyperlink_1375"/>
    <hyperlink ref="D1550" r:id="rId_hyperlink_1376"/>
    <hyperlink ref="D1551" r:id="rId_hyperlink_1377"/>
    <hyperlink ref="D1552" r:id="rId_hyperlink_1378"/>
    <hyperlink ref="D1553" r:id="rId_hyperlink_1379"/>
    <hyperlink ref="D1554" r:id="rId_hyperlink_1380"/>
    <hyperlink ref="D1555" r:id="rId_hyperlink_1381"/>
    <hyperlink ref="D1556" r:id="rId_hyperlink_1382"/>
    <hyperlink ref="D1557" r:id="rId_hyperlink_1383"/>
    <hyperlink ref="D1558" r:id="rId_hyperlink_1384"/>
    <hyperlink ref="D1559" r:id="rId_hyperlink_1385"/>
    <hyperlink ref="D1560" r:id="rId_hyperlink_1386"/>
    <hyperlink ref="D1561" r:id="rId_hyperlink_1387"/>
    <hyperlink ref="D1562" r:id="rId_hyperlink_1388"/>
    <hyperlink ref="D1563" r:id="rId_hyperlink_1389"/>
    <hyperlink ref="D1565" r:id="rId_hyperlink_1390"/>
    <hyperlink ref="D1566" r:id="rId_hyperlink_1391"/>
    <hyperlink ref="D1567" r:id="rId_hyperlink_1392"/>
    <hyperlink ref="D1568" r:id="rId_hyperlink_1393"/>
    <hyperlink ref="D1569" r:id="rId_hyperlink_1394"/>
    <hyperlink ref="D1570" r:id="rId_hyperlink_1395"/>
    <hyperlink ref="D1571" r:id="rId_hyperlink_1396"/>
    <hyperlink ref="D1572" r:id="rId_hyperlink_1397"/>
    <hyperlink ref="D1573" r:id="rId_hyperlink_1398"/>
    <hyperlink ref="D1574" r:id="rId_hyperlink_1399"/>
    <hyperlink ref="D1575" r:id="rId_hyperlink_1400"/>
    <hyperlink ref="D1576" r:id="rId_hyperlink_1401"/>
    <hyperlink ref="D1577" r:id="rId_hyperlink_1402"/>
    <hyperlink ref="D1578" r:id="rId_hyperlink_1403"/>
    <hyperlink ref="D1579" r:id="rId_hyperlink_1404"/>
    <hyperlink ref="D1580" r:id="rId_hyperlink_1405"/>
    <hyperlink ref="D1581" r:id="rId_hyperlink_1406"/>
    <hyperlink ref="D1583" r:id="rId_hyperlink_1407"/>
    <hyperlink ref="D1586" r:id="rId_hyperlink_1408"/>
    <hyperlink ref="D1587" r:id="rId_hyperlink_1409"/>
    <hyperlink ref="D1588" r:id="rId_hyperlink_1410"/>
    <hyperlink ref="D1589" r:id="rId_hyperlink_1411"/>
    <hyperlink ref="D1590" r:id="rId_hyperlink_1412"/>
    <hyperlink ref="D1591" r:id="rId_hyperlink_1413"/>
    <hyperlink ref="D1592" r:id="rId_hyperlink_1414"/>
    <hyperlink ref="D1593" r:id="rId_hyperlink_1415"/>
    <hyperlink ref="D1594" r:id="rId_hyperlink_1416"/>
    <hyperlink ref="D1595" r:id="rId_hyperlink_1417"/>
    <hyperlink ref="D1596" r:id="rId_hyperlink_1418"/>
    <hyperlink ref="D1597" r:id="rId_hyperlink_1419"/>
    <hyperlink ref="D1599" r:id="rId_hyperlink_1420"/>
    <hyperlink ref="D1600" r:id="rId_hyperlink_1421"/>
    <hyperlink ref="D1601" r:id="rId_hyperlink_1422"/>
    <hyperlink ref="D1602" r:id="rId_hyperlink_1423"/>
    <hyperlink ref="D1603" r:id="rId_hyperlink_1424"/>
    <hyperlink ref="D1604" r:id="rId_hyperlink_1425"/>
    <hyperlink ref="D1605" r:id="rId_hyperlink_1426"/>
    <hyperlink ref="D1606" r:id="rId_hyperlink_1427"/>
    <hyperlink ref="D1607" r:id="rId_hyperlink_1428"/>
    <hyperlink ref="D1608" r:id="rId_hyperlink_1429"/>
    <hyperlink ref="D1609" r:id="rId_hyperlink_1430"/>
    <hyperlink ref="D1610" r:id="rId_hyperlink_1431"/>
    <hyperlink ref="D1611" r:id="rId_hyperlink_1432"/>
    <hyperlink ref="D1612" r:id="rId_hyperlink_1433"/>
    <hyperlink ref="D1613" r:id="rId_hyperlink_1434"/>
    <hyperlink ref="D1615" r:id="rId_hyperlink_1435"/>
    <hyperlink ref="D1616" r:id="rId_hyperlink_1436"/>
    <hyperlink ref="D1617" r:id="rId_hyperlink_1437"/>
    <hyperlink ref="D1618" r:id="rId_hyperlink_1438"/>
    <hyperlink ref="D1620" r:id="rId_hyperlink_1439"/>
    <hyperlink ref="D1621" r:id="rId_hyperlink_1440"/>
    <hyperlink ref="D1623" r:id="rId_hyperlink_1441"/>
    <hyperlink ref="D1624" r:id="rId_hyperlink_1442"/>
    <hyperlink ref="D1625" r:id="rId_hyperlink_1443"/>
    <hyperlink ref="D1626" r:id="rId_hyperlink_1444"/>
    <hyperlink ref="D1627" r:id="rId_hyperlink_1445"/>
    <hyperlink ref="D1628" r:id="rId_hyperlink_1446"/>
    <hyperlink ref="D1629" r:id="rId_hyperlink_1447"/>
    <hyperlink ref="D1630" r:id="rId_hyperlink_1448"/>
    <hyperlink ref="D1631" r:id="rId_hyperlink_1449"/>
    <hyperlink ref="D1632" r:id="rId_hyperlink_1450"/>
    <hyperlink ref="D1633" r:id="rId_hyperlink_1451"/>
    <hyperlink ref="D1634" r:id="rId_hyperlink_1452"/>
    <hyperlink ref="D1635" r:id="rId_hyperlink_1453"/>
    <hyperlink ref="D1636" r:id="rId_hyperlink_1454"/>
    <hyperlink ref="D1637" r:id="rId_hyperlink_1455"/>
    <hyperlink ref="D1638" r:id="rId_hyperlink_1456"/>
    <hyperlink ref="D1639" r:id="rId_hyperlink_1457"/>
    <hyperlink ref="D1640" r:id="rId_hyperlink_1458"/>
    <hyperlink ref="D1641" r:id="rId_hyperlink_1459"/>
    <hyperlink ref="D1642" r:id="rId_hyperlink_1460"/>
    <hyperlink ref="D1643" r:id="rId_hyperlink_1461"/>
    <hyperlink ref="D1644" r:id="rId_hyperlink_1462"/>
    <hyperlink ref="D1645" r:id="rId_hyperlink_1463"/>
    <hyperlink ref="D1647" r:id="rId_hyperlink_1464"/>
    <hyperlink ref="D1648" r:id="rId_hyperlink_1465"/>
    <hyperlink ref="D1649" r:id="rId_hyperlink_1466"/>
    <hyperlink ref="D1650" r:id="rId_hyperlink_1467"/>
    <hyperlink ref="D1651" r:id="rId_hyperlink_1468"/>
    <hyperlink ref="D1652" r:id="rId_hyperlink_1469"/>
    <hyperlink ref="D1653" r:id="rId_hyperlink_1470"/>
    <hyperlink ref="D1654" r:id="rId_hyperlink_1471"/>
    <hyperlink ref="D1655" r:id="rId_hyperlink_1472"/>
    <hyperlink ref="D1656" r:id="rId_hyperlink_1473"/>
    <hyperlink ref="D1657" r:id="rId_hyperlink_1474"/>
    <hyperlink ref="D1658" r:id="rId_hyperlink_1475"/>
    <hyperlink ref="D1659" r:id="rId_hyperlink_1476"/>
    <hyperlink ref="D1660" r:id="rId_hyperlink_1477"/>
    <hyperlink ref="D1661" r:id="rId_hyperlink_1478"/>
    <hyperlink ref="D1662" r:id="rId_hyperlink_1479"/>
    <hyperlink ref="D1663" r:id="rId_hyperlink_1480"/>
    <hyperlink ref="D1664" r:id="rId_hyperlink_1481"/>
    <hyperlink ref="D1665" r:id="rId_hyperlink_1482"/>
    <hyperlink ref="D1666" r:id="rId_hyperlink_1483"/>
    <hyperlink ref="D1667" r:id="rId_hyperlink_1484"/>
    <hyperlink ref="D1668" r:id="rId_hyperlink_1485"/>
    <hyperlink ref="D1669" r:id="rId_hyperlink_1486"/>
    <hyperlink ref="D1671" r:id="rId_hyperlink_1487"/>
    <hyperlink ref="D1672" r:id="rId_hyperlink_1488"/>
    <hyperlink ref="D1673" r:id="rId_hyperlink_1489"/>
    <hyperlink ref="D1674" r:id="rId_hyperlink_1490"/>
    <hyperlink ref="D1675" r:id="rId_hyperlink_1491"/>
    <hyperlink ref="D1676" r:id="rId_hyperlink_1492"/>
    <hyperlink ref="D1677" r:id="rId_hyperlink_1493"/>
    <hyperlink ref="D1678" r:id="rId_hyperlink_1494"/>
    <hyperlink ref="D1679" r:id="rId_hyperlink_1495"/>
    <hyperlink ref="D1680" r:id="rId_hyperlink_1496"/>
    <hyperlink ref="D1681" r:id="rId_hyperlink_1497"/>
    <hyperlink ref="D1682" r:id="rId_hyperlink_1498"/>
    <hyperlink ref="D1683" r:id="rId_hyperlink_1499"/>
    <hyperlink ref="D1684" r:id="rId_hyperlink_1500"/>
    <hyperlink ref="D1685" r:id="rId_hyperlink_1501"/>
    <hyperlink ref="D1686" r:id="rId_hyperlink_1502"/>
    <hyperlink ref="D1687" r:id="rId_hyperlink_1503"/>
    <hyperlink ref="D1688" r:id="rId_hyperlink_1504"/>
    <hyperlink ref="D1689" r:id="rId_hyperlink_1505"/>
    <hyperlink ref="D1690" r:id="rId_hyperlink_1506"/>
    <hyperlink ref="D1691" r:id="rId_hyperlink_1507"/>
    <hyperlink ref="D1692" r:id="rId_hyperlink_1508"/>
    <hyperlink ref="D1693" r:id="rId_hyperlink_1509"/>
    <hyperlink ref="D1695" r:id="rId_hyperlink_1510"/>
    <hyperlink ref="D1696" r:id="rId_hyperlink_1511"/>
    <hyperlink ref="D1699" r:id="rId_hyperlink_1512"/>
    <hyperlink ref="D1700" r:id="rId_hyperlink_1513"/>
    <hyperlink ref="D1701" r:id="rId_hyperlink_1514"/>
    <hyperlink ref="D1702" r:id="rId_hyperlink_1515"/>
    <hyperlink ref="D1703" r:id="rId_hyperlink_1516"/>
    <hyperlink ref="D1704" r:id="rId_hyperlink_1517"/>
    <hyperlink ref="D1705" r:id="rId_hyperlink_1518"/>
    <hyperlink ref="D1706" r:id="rId_hyperlink_1519"/>
    <hyperlink ref="D1707" r:id="rId_hyperlink_1520"/>
    <hyperlink ref="D1708" r:id="rId_hyperlink_1521"/>
    <hyperlink ref="D1709" r:id="rId_hyperlink_1522"/>
    <hyperlink ref="D1711" r:id="rId_hyperlink_1523"/>
    <hyperlink ref="D1713" r:id="rId_hyperlink_1524"/>
    <hyperlink ref="D1714" r:id="rId_hyperlink_1525"/>
    <hyperlink ref="D1715" r:id="rId_hyperlink_1526"/>
    <hyperlink ref="D1717" r:id="rId_hyperlink_1527"/>
    <hyperlink ref="D1719" r:id="rId_hyperlink_1528"/>
    <hyperlink ref="D1720" r:id="rId_hyperlink_1529"/>
    <hyperlink ref="D1721" r:id="rId_hyperlink_1530"/>
    <hyperlink ref="D1722" r:id="rId_hyperlink_1531"/>
    <hyperlink ref="D1723" r:id="rId_hyperlink_1532"/>
    <hyperlink ref="D1724" r:id="rId_hyperlink_1533"/>
    <hyperlink ref="D1725" r:id="rId_hyperlink_1534"/>
    <hyperlink ref="D1726" r:id="rId_hyperlink_1535"/>
    <hyperlink ref="D1727" r:id="rId_hyperlink_1536"/>
    <hyperlink ref="D1729" r:id="rId_hyperlink_1537"/>
    <hyperlink ref="D1730" r:id="rId_hyperlink_1538"/>
    <hyperlink ref="D1731" r:id="rId_hyperlink_1539"/>
    <hyperlink ref="D1734" r:id="rId_hyperlink_1540"/>
    <hyperlink ref="D1735" r:id="rId_hyperlink_1541"/>
    <hyperlink ref="D1737" r:id="rId_hyperlink_1542"/>
    <hyperlink ref="D1738" r:id="rId_hyperlink_1543"/>
    <hyperlink ref="D1740" r:id="rId_hyperlink_1544"/>
    <hyperlink ref="D1741" r:id="rId_hyperlink_1545"/>
    <hyperlink ref="D1742" r:id="rId_hyperlink_1546"/>
    <hyperlink ref="D1743" r:id="rId_hyperlink_1547"/>
    <hyperlink ref="D1744" r:id="rId_hyperlink_1548"/>
    <hyperlink ref="D1745" r:id="rId_hyperlink_1549"/>
    <hyperlink ref="D1746" r:id="rId_hyperlink_1550"/>
    <hyperlink ref="D1747" r:id="rId_hyperlink_1551"/>
    <hyperlink ref="D1748" r:id="rId_hyperlink_1552"/>
    <hyperlink ref="D1751" r:id="rId_hyperlink_1553"/>
    <hyperlink ref="D1752" r:id="rId_hyperlink_1554"/>
    <hyperlink ref="D1753" r:id="rId_hyperlink_1555"/>
    <hyperlink ref="D1754" r:id="rId_hyperlink_1556"/>
    <hyperlink ref="D1755" r:id="rId_hyperlink_1557"/>
    <hyperlink ref="D1756" r:id="rId_hyperlink_1558"/>
    <hyperlink ref="D1757" r:id="rId_hyperlink_1559"/>
    <hyperlink ref="D1758" r:id="rId_hyperlink_1560"/>
    <hyperlink ref="D1759" r:id="rId_hyperlink_1561"/>
    <hyperlink ref="D1760" r:id="rId_hyperlink_1562"/>
    <hyperlink ref="D1761" r:id="rId_hyperlink_1563"/>
    <hyperlink ref="D1762" r:id="rId_hyperlink_1564"/>
    <hyperlink ref="D1764" r:id="rId_hyperlink_1565"/>
    <hyperlink ref="D1765" r:id="rId_hyperlink_1566"/>
    <hyperlink ref="D1766" r:id="rId_hyperlink_1567"/>
    <hyperlink ref="D1767" r:id="rId_hyperlink_1568"/>
    <hyperlink ref="D1768" r:id="rId_hyperlink_1569"/>
    <hyperlink ref="D1769" r:id="rId_hyperlink_1570"/>
    <hyperlink ref="D1770" r:id="rId_hyperlink_1571"/>
    <hyperlink ref="D1771" r:id="rId_hyperlink_1572"/>
    <hyperlink ref="D1772" r:id="rId_hyperlink_1573"/>
    <hyperlink ref="D1773" r:id="rId_hyperlink_1574"/>
    <hyperlink ref="D1774" r:id="rId_hyperlink_1575"/>
    <hyperlink ref="D1775" r:id="rId_hyperlink_1576"/>
    <hyperlink ref="D1776" r:id="rId_hyperlink_1577"/>
    <hyperlink ref="D1777" r:id="rId_hyperlink_1578"/>
    <hyperlink ref="D1778" r:id="rId_hyperlink_1579"/>
    <hyperlink ref="D1779" r:id="rId_hyperlink_1580"/>
    <hyperlink ref="D1780" r:id="rId_hyperlink_1581"/>
    <hyperlink ref="D1781" r:id="rId_hyperlink_1582"/>
    <hyperlink ref="D1782" r:id="rId_hyperlink_1583"/>
    <hyperlink ref="D1783" r:id="rId_hyperlink_1584"/>
    <hyperlink ref="D1784" r:id="rId_hyperlink_1585"/>
    <hyperlink ref="D1785" r:id="rId_hyperlink_1586"/>
    <hyperlink ref="D1786" r:id="rId_hyperlink_1587"/>
    <hyperlink ref="D1787" r:id="rId_hyperlink_1588"/>
    <hyperlink ref="D1788" r:id="rId_hyperlink_1589"/>
    <hyperlink ref="D1789" r:id="rId_hyperlink_1590"/>
    <hyperlink ref="D1790" r:id="rId_hyperlink_1591"/>
    <hyperlink ref="D1791" r:id="rId_hyperlink_1592"/>
    <hyperlink ref="D1792" r:id="rId_hyperlink_1593"/>
    <hyperlink ref="D1793" r:id="rId_hyperlink_1594"/>
    <hyperlink ref="D1794" r:id="rId_hyperlink_1595"/>
    <hyperlink ref="D1795" r:id="rId_hyperlink_1596"/>
    <hyperlink ref="D1796" r:id="rId_hyperlink_1597"/>
    <hyperlink ref="D1797" r:id="rId_hyperlink_1598"/>
    <hyperlink ref="D1798" r:id="rId_hyperlink_1599"/>
    <hyperlink ref="D1799" r:id="rId_hyperlink_1600"/>
    <hyperlink ref="D1800" r:id="rId_hyperlink_1601"/>
    <hyperlink ref="D1801" r:id="rId_hyperlink_1602"/>
    <hyperlink ref="D1802" r:id="rId_hyperlink_1603"/>
    <hyperlink ref="D1803" r:id="rId_hyperlink_1604"/>
    <hyperlink ref="D1804" r:id="rId_hyperlink_1605"/>
    <hyperlink ref="D1805" r:id="rId_hyperlink_1606"/>
    <hyperlink ref="D1806" r:id="rId_hyperlink_1607"/>
    <hyperlink ref="D1807" r:id="rId_hyperlink_1608"/>
    <hyperlink ref="D1808" r:id="rId_hyperlink_1609"/>
    <hyperlink ref="D1809" r:id="rId_hyperlink_1610"/>
    <hyperlink ref="D1810" r:id="rId_hyperlink_1611"/>
    <hyperlink ref="D1811" r:id="rId_hyperlink_1612"/>
    <hyperlink ref="D1812" r:id="rId_hyperlink_1613"/>
    <hyperlink ref="D1813" r:id="rId_hyperlink_1614"/>
    <hyperlink ref="D1814" r:id="rId_hyperlink_1615"/>
    <hyperlink ref="D1815" r:id="rId_hyperlink_1616"/>
    <hyperlink ref="D1816" r:id="rId_hyperlink_1617"/>
    <hyperlink ref="D1817" r:id="rId_hyperlink_1618"/>
    <hyperlink ref="D1818" r:id="rId_hyperlink_1619"/>
    <hyperlink ref="D1819" r:id="rId_hyperlink_1620"/>
    <hyperlink ref="D1820" r:id="rId_hyperlink_1621"/>
    <hyperlink ref="D1821" r:id="rId_hyperlink_1622"/>
    <hyperlink ref="D1822" r:id="rId_hyperlink_1623"/>
    <hyperlink ref="D1823" r:id="rId_hyperlink_1624"/>
    <hyperlink ref="D1824" r:id="rId_hyperlink_1625"/>
    <hyperlink ref="D1825" r:id="rId_hyperlink_1626"/>
    <hyperlink ref="D1826" r:id="rId_hyperlink_1627"/>
    <hyperlink ref="D1827" r:id="rId_hyperlink_1628"/>
    <hyperlink ref="D1828" r:id="rId_hyperlink_1629"/>
    <hyperlink ref="D1829" r:id="rId_hyperlink_1630"/>
    <hyperlink ref="D1830" r:id="rId_hyperlink_1631"/>
    <hyperlink ref="D1831" r:id="rId_hyperlink_1632"/>
    <hyperlink ref="D1832" r:id="rId_hyperlink_1633"/>
    <hyperlink ref="D1833" r:id="rId_hyperlink_1634"/>
    <hyperlink ref="D1834" r:id="rId_hyperlink_1635"/>
    <hyperlink ref="D1835" r:id="rId_hyperlink_1636"/>
    <hyperlink ref="D1836" r:id="rId_hyperlink_1637"/>
    <hyperlink ref="D1837" r:id="rId_hyperlink_1638"/>
    <hyperlink ref="D1838" r:id="rId_hyperlink_1639"/>
    <hyperlink ref="D1839" r:id="rId_hyperlink_1640"/>
    <hyperlink ref="D1840" r:id="rId_hyperlink_1641"/>
    <hyperlink ref="D1841" r:id="rId_hyperlink_1642"/>
    <hyperlink ref="D1842" r:id="rId_hyperlink_1643"/>
    <hyperlink ref="D1843" r:id="rId_hyperlink_1644"/>
    <hyperlink ref="D1844" r:id="rId_hyperlink_1645"/>
    <hyperlink ref="D1845" r:id="rId_hyperlink_1646"/>
    <hyperlink ref="D1846" r:id="rId_hyperlink_1647"/>
    <hyperlink ref="D1847" r:id="rId_hyperlink_1648"/>
    <hyperlink ref="D1848" r:id="rId_hyperlink_1649"/>
    <hyperlink ref="D1849" r:id="rId_hyperlink_1650"/>
    <hyperlink ref="D1850" r:id="rId_hyperlink_1651"/>
    <hyperlink ref="D1851" r:id="rId_hyperlink_1652"/>
    <hyperlink ref="D1852" r:id="rId_hyperlink_1653"/>
    <hyperlink ref="D1853" r:id="rId_hyperlink_1654"/>
    <hyperlink ref="D1854" r:id="rId_hyperlink_1655"/>
    <hyperlink ref="D1855" r:id="rId_hyperlink_1656"/>
    <hyperlink ref="D1856" r:id="rId_hyperlink_1657"/>
    <hyperlink ref="D1857" r:id="rId_hyperlink_1658"/>
    <hyperlink ref="D1858" r:id="rId_hyperlink_1659"/>
    <hyperlink ref="D1859" r:id="rId_hyperlink_1660"/>
    <hyperlink ref="D1860" r:id="rId_hyperlink_1661"/>
    <hyperlink ref="D1861" r:id="rId_hyperlink_1662"/>
    <hyperlink ref="D1862" r:id="rId_hyperlink_1663"/>
    <hyperlink ref="D1863" r:id="rId_hyperlink_1664"/>
    <hyperlink ref="D1864" r:id="rId_hyperlink_1665"/>
    <hyperlink ref="D1865" r:id="rId_hyperlink_1666"/>
    <hyperlink ref="D1866" r:id="rId_hyperlink_1667"/>
    <hyperlink ref="D1867" r:id="rId_hyperlink_1668"/>
    <hyperlink ref="D1868" r:id="rId_hyperlink_1669"/>
    <hyperlink ref="D1869" r:id="rId_hyperlink_1670"/>
    <hyperlink ref="D1870" r:id="rId_hyperlink_1671"/>
    <hyperlink ref="D1871" r:id="rId_hyperlink_1672"/>
    <hyperlink ref="D1872" r:id="rId_hyperlink_1673"/>
    <hyperlink ref="D1873" r:id="rId_hyperlink_1674"/>
    <hyperlink ref="D1877" r:id="rId_hyperlink_1675"/>
    <hyperlink ref="D1878" r:id="rId_hyperlink_1676"/>
    <hyperlink ref="D1879" r:id="rId_hyperlink_1677"/>
    <hyperlink ref="D1880" r:id="rId_hyperlink_1678"/>
    <hyperlink ref="D1881" r:id="rId_hyperlink_1679"/>
    <hyperlink ref="D1882" r:id="rId_hyperlink_1680"/>
    <hyperlink ref="D1883" r:id="rId_hyperlink_1681"/>
    <hyperlink ref="D1884" r:id="rId_hyperlink_1682"/>
    <hyperlink ref="D1885" r:id="rId_hyperlink_1683"/>
    <hyperlink ref="D1887" r:id="rId_hyperlink_1684"/>
    <hyperlink ref="D1888" r:id="rId_hyperlink_1685"/>
    <hyperlink ref="D1890" r:id="rId_hyperlink_1686"/>
    <hyperlink ref="D1892" r:id="rId_hyperlink_1687"/>
    <hyperlink ref="D1893" r:id="rId_hyperlink_1688"/>
    <hyperlink ref="D1894" r:id="rId_hyperlink_1689"/>
    <hyperlink ref="D1895" r:id="rId_hyperlink_1690"/>
    <hyperlink ref="D1896" r:id="rId_hyperlink_1691"/>
    <hyperlink ref="D1897" r:id="rId_hyperlink_1692"/>
    <hyperlink ref="D1898" r:id="rId_hyperlink_1693"/>
    <hyperlink ref="D1899" r:id="rId_hyperlink_1694"/>
    <hyperlink ref="D1901" r:id="rId_hyperlink_1695"/>
    <hyperlink ref="D1902" r:id="rId_hyperlink_1696"/>
    <hyperlink ref="D1903" r:id="rId_hyperlink_1697"/>
    <hyperlink ref="D1904" r:id="rId_hyperlink_1698"/>
    <hyperlink ref="D1905" r:id="rId_hyperlink_1699"/>
    <hyperlink ref="D1906" r:id="rId_hyperlink_1700"/>
    <hyperlink ref="D1907" r:id="rId_hyperlink_1701"/>
    <hyperlink ref="D1908" r:id="rId_hyperlink_1702"/>
    <hyperlink ref="D1910" r:id="rId_hyperlink_1703"/>
    <hyperlink ref="D1911" r:id="rId_hyperlink_1704"/>
    <hyperlink ref="D1912" r:id="rId_hyperlink_1705"/>
    <hyperlink ref="D1913" r:id="rId_hyperlink_1706"/>
    <hyperlink ref="D1914" r:id="rId_hyperlink_1707"/>
    <hyperlink ref="D1915" r:id="rId_hyperlink_1708"/>
    <hyperlink ref="D1916" r:id="rId_hyperlink_1709"/>
    <hyperlink ref="D1917" r:id="rId_hyperlink_1710"/>
    <hyperlink ref="D1918" r:id="rId_hyperlink_1711"/>
    <hyperlink ref="D1920" r:id="rId_hyperlink_1712"/>
    <hyperlink ref="D1921" r:id="rId_hyperlink_1713"/>
    <hyperlink ref="D1922" r:id="rId_hyperlink_1714"/>
    <hyperlink ref="D1923" r:id="rId_hyperlink_1715"/>
    <hyperlink ref="D1924" r:id="rId_hyperlink_1716"/>
    <hyperlink ref="D1925" r:id="rId_hyperlink_1717"/>
    <hyperlink ref="D1926" r:id="rId_hyperlink_1718"/>
    <hyperlink ref="D1927" r:id="rId_hyperlink_1719"/>
    <hyperlink ref="D1928" r:id="rId_hyperlink_1720"/>
    <hyperlink ref="D1929" r:id="rId_hyperlink_1721"/>
    <hyperlink ref="D1930" r:id="rId_hyperlink_1722"/>
    <hyperlink ref="D1931" r:id="rId_hyperlink_1723"/>
    <hyperlink ref="D1932" r:id="rId_hyperlink_1724"/>
    <hyperlink ref="D1933" r:id="rId_hyperlink_1725"/>
    <hyperlink ref="D1934" r:id="rId_hyperlink_1726"/>
    <hyperlink ref="D1935" r:id="rId_hyperlink_1727"/>
    <hyperlink ref="D1938" r:id="rId_hyperlink_1728"/>
    <hyperlink ref="D1939" r:id="rId_hyperlink_1729"/>
    <hyperlink ref="D1940" r:id="rId_hyperlink_1730"/>
    <hyperlink ref="D1941" r:id="rId_hyperlink_1731"/>
    <hyperlink ref="D1942" r:id="rId_hyperlink_1732"/>
    <hyperlink ref="D1943" r:id="rId_hyperlink_1733"/>
    <hyperlink ref="D1944" r:id="rId_hyperlink_1734"/>
    <hyperlink ref="D1945" r:id="rId_hyperlink_1735"/>
    <hyperlink ref="D1946" r:id="rId_hyperlink_1736"/>
    <hyperlink ref="D1947" r:id="rId_hyperlink_1737"/>
    <hyperlink ref="D1948" r:id="rId_hyperlink_1738"/>
    <hyperlink ref="D1949" r:id="rId_hyperlink_1739"/>
    <hyperlink ref="D1950" r:id="rId_hyperlink_1740"/>
    <hyperlink ref="D1951" r:id="rId_hyperlink_1741"/>
    <hyperlink ref="D1952" r:id="rId_hyperlink_1742"/>
    <hyperlink ref="D1953" r:id="rId_hyperlink_1743"/>
    <hyperlink ref="D1954" r:id="rId_hyperlink_1744"/>
    <hyperlink ref="D1955" r:id="rId_hyperlink_1745"/>
    <hyperlink ref="D1956" r:id="rId_hyperlink_1746"/>
    <hyperlink ref="D1958" r:id="rId_hyperlink_1747"/>
    <hyperlink ref="D1959" r:id="rId_hyperlink_1748"/>
    <hyperlink ref="D1960" r:id="rId_hyperlink_1749"/>
    <hyperlink ref="D1961" r:id="rId_hyperlink_1750"/>
    <hyperlink ref="D1962" r:id="rId_hyperlink_1751"/>
    <hyperlink ref="D1963" r:id="rId_hyperlink_1752"/>
    <hyperlink ref="D1964" r:id="rId_hyperlink_1753"/>
    <hyperlink ref="D1965" r:id="rId_hyperlink_1754"/>
    <hyperlink ref="D1966" r:id="rId_hyperlink_1755"/>
    <hyperlink ref="D1967" r:id="rId_hyperlink_1756"/>
    <hyperlink ref="D1968" r:id="rId_hyperlink_1757"/>
    <hyperlink ref="D1969" r:id="rId_hyperlink_1758"/>
    <hyperlink ref="D1970" r:id="rId_hyperlink_1759"/>
    <hyperlink ref="D1971" r:id="rId_hyperlink_1760"/>
    <hyperlink ref="D1972" r:id="rId_hyperlink_1761"/>
    <hyperlink ref="D1973" r:id="rId_hyperlink_1762"/>
    <hyperlink ref="D1974" r:id="rId_hyperlink_1763"/>
    <hyperlink ref="D1975" r:id="rId_hyperlink_1764"/>
    <hyperlink ref="D1976" r:id="rId_hyperlink_1765"/>
    <hyperlink ref="D1977" r:id="rId_hyperlink_1766"/>
    <hyperlink ref="D1978" r:id="rId_hyperlink_1767"/>
    <hyperlink ref="D1979" r:id="rId_hyperlink_1768"/>
    <hyperlink ref="D1980" r:id="rId_hyperlink_1769"/>
    <hyperlink ref="D1981" r:id="rId_hyperlink_1770"/>
    <hyperlink ref="D1982" r:id="rId_hyperlink_1771"/>
    <hyperlink ref="D1983" r:id="rId_hyperlink_1772"/>
    <hyperlink ref="D1984" r:id="rId_hyperlink_1773"/>
    <hyperlink ref="D1985" r:id="rId_hyperlink_1774"/>
    <hyperlink ref="D1986" r:id="rId_hyperlink_1775"/>
    <hyperlink ref="D1987" r:id="rId_hyperlink_1776"/>
    <hyperlink ref="D1988" r:id="rId_hyperlink_1777"/>
    <hyperlink ref="D1989" r:id="rId_hyperlink_1778"/>
    <hyperlink ref="D1990" r:id="rId_hyperlink_1779"/>
    <hyperlink ref="D1991" r:id="rId_hyperlink_1780"/>
    <hyperlink ref="D1992" r:id="rId_hyperlink_1781"/>
    <hyperlink ref="D1993" r:id="rId_hyperlink_1782"/>
    <hyperlink ref="D1994" r:id="rId_hyperlink_1783"/>
    <hyperlink ref="D1995" r:id="rId_hyperlink_1784"/>
    <hyperlink ref="D1996" r:id="rId_hyperlink_1785"/>
    <hyperlink ref="D1997" r:id="rId_hyperlink_1786"/>
    <hyperlink ref="D1998" r:id="rId_hyperlink_1787"/>
    <hyperlink ref="D1999" r:id="rId_hyperlink_1788"/>
    <hyperlink ref="D2000" r:id="rId_hyperlink_1789"/>
    <hyperlink ref="D2001" r:id="rId_hyperlink_1790"/>
    <hyperlink ref="D2002" r:id="rId_hyperlink_1791"/>
    <hyperlink ref="D2003" r:id="rId_hyperlink_1792"/>
    <hyperlink ref="D2004" r:id="rId_hyperlink_1793"/>
    <hyperlink ref="D2005" r:id="rId_hyperlink_1794"/>
    <hyperlink ref="D2006" r:id="rId_hyperlink_1795"/>
    <hyperlink ref="D2007" r:id="rId_hyperlink_1796"/>
    <hyperlink ref="D2008" r:id="rId_hyperlink_1797"/>
    <hyperlink ref="D2009" r:id="rId_hyperlink_1798"/>
    <hyperlink ref="D2010" r:id="rId_hyperlink_1799"/>
    <hyperlink ref="D2011" r:id="rId_hyperlink_1800"/>
    <hyperlink ref="D2012" r:id="rId_hyperlink_1801"/>
    <hyperlink ref="D2013" r:id="rId_hyperlink_1802"/>
    <hyperlink ref="D2014" r:id="rId_hyperlink_1803"/>
    <hyperlink ref="D2015" r:id="rId_hyperlink_1804"/>
    <hyperlink ref="D2016" r:id="rId_hyperlink_1805"/>
    <hyperlink ref="D2017" r:id="rId_hyperlink_1806"/>
    <hyperlink ref="D2018" r:id="rId_hyperlink_1807"/>
    <hyperlink ref="D2019" r:id="rId_hyperlink_1808"/>
    <hyperlink ref="D2020" r:id="rId_hyperlink_1809"/>
    <hyperlink ref="D2021" r:id="rId_hyperlink_1810"/>
    <hyperlink ref="D2022" r:id="rId_hyperlink_1811"/>
    <hyperlink ref="D2023" r:id="rId_hyperlink_1812"/>
    <hyperlink ref="D2024" r:id="rId_hyperlink_1813"/>
    <hyperlink ref="D2025" r:id="rId_hyperlink_1814"/>
    <hyperlink ref="D2028" r:id="rId_hyperlink_1815"/>
    <hyperlink ref="D2029" r:id="rId_hyperlink_1816"/>
    <hyperlink ref="D2030" r:id="rId_hyperlink_1817"/>
    <hyperlink ref="D2031" r:id="rId_hyperlink_1818"/>
    <hyperlink ref="D2032" r:id="rId_hyperlink_1819"/>
    <hyperlink ref="D2034" r:id="rId_hyperlink_1820"/>
    <hyperlink ref="D2035" r:id="rId_hyperlink_1821"/>
    <hyperlink ref="D2036" r:id="rId_hyperlink_1822"/>
    <hyperlink ref="D2037" r:id="rId_hyperlink_1823"/>
    <hyperlink ref="D2038" r:id="rId_hyperlink_1824"/>
    <hyperlink ref="D2039" r:id="rId_hyperlink_1825"/>
    <hyperlink ref="D2040" r:id="rId_hyperlink_1826"/>
    <hyperlink ref="D2041" r:id="rId_hyperlink_1827"/>
    <hyperlink ref="D2042" r:id="rId_hyperlink_1828"/>
    <hyperlink ref="D2043" r:id="rId_hyperlink_1829"/>
    <hyperlink ref="D2044" r:id="rId_hyperlink_1830"/>
    <hyperlink ref="D2045" r:id="rId_hyperlink_1831"/>
    <hyperlink ref="D2046" r:id="rId_hyperlink_1832"/>
    <hyperlink ref="D2047" r:id="rId_hyperlink_1833"/>
    <hyperlink ref="D2048" r:id="rId_hyperlink_1834"/>
    <hyperlink ref="D2049" r:id="rId_hyperlink_1835"/>
    <hyperlink ref="D2050" r:id="rId_hyperlink_1836"/>
    <hyperlink ref="D2051" r:id="rId_hyperlink_1837"/>
    <hyperlink ref="D2052" r:id="rId_hyperlink_1838"/>
    <hyperlink ref="D2053" r:id="rId_hyperlink_1839"/>
    <hyperlink ref="D2054" r:id="rId_hyperlink_1840"/>
    <hyperlink ref="D2055" r:id="rId_hyperlink_1841"/>
    <hyperlink ref="D2056" r:id="rId_hyperlink_1842"/>
    <hyperlink ref="D2057" r:id="rId_hyperlink_1843"/>
    <hyperlink ref="D2058" r:id="rId_hyperlink_1844"/>
    <hyperlink ref="D2059" r:id="rId_hyperlink_1845"/>
    <hyperlink ref="D2060" r:id="rId_hyperlink_1846"/>
    <hyperlink ref="D2061" r:id="rId_hyperlink_1847"/>
    <hyperlink ref="D2062" r:id="rId_hyperlink_1848"/>
    <hyperlink ref="D2063" r:id="rId_hyperlink_1849"/>
    <hyperlink ref="D2065" r:id="rId_hyperlink_1850"/>
    <hyperlink ref="D2066" r:id="rId_hyperlink_1851"/>
    <hyperlink ref="D2067" r:id="rId_hyperlink_1852"/>
    <hyperlink ref="D2068" r:id="rId_hyperlink_1853"/>
    <hyperlink ref="D2069" r:id="rId_hyperlink_1854"/>
    <hyperlink ref="D2070" r:id="rId_hyperlink_1855"/>
    <hyperlink ref="D2071" r:id="rId_hyperlink_1856"/>
    <hyperlink ref="D2072" r:id="rId_hyperlink_1857"/>
    <hyperlink ref="D2073" r:id="rId_hyperlink_1858"/>
    <hyperlink ref="D2074" r:id="rId_hyperlink_1859"/>
    <hyperlink ref="D2075" r:id="rId_hyperlink_1860"/>
    <hyperlink ref="D2076" r:id="rId_hyperlink_1861"/>
    <hyperlink ref="D2077" r:id="rId_hyperlink_1862"/>
    <hyperlink ref="D2078" r:id="rId_hyperlink_1863"/>
    <hyperlink ref="D2079" r:id="rId_hyperlink_1864"/>
    <hyperlink ref="D2080" r:id="rId_hyperlink_1865"/>
    <hyperlink ref="D2081" r:id="rId_hyperlink_1866"/>
    <hyperlink ref="D2082" r:id="rId_hyperlink_1867"/>
    <hyperlink ref="D2083" r:id="rId_hyperlink_1868"/>
    <hyperlink ref="D2084" r:id="rId_hyperlink_1869"/>
    <hyperlink ref="D2085" r:id="rId_hyperlink_1870"/>
    <hyperlink ref="D2086" r:id="rId_hyperlink_1871"/>
    <hyperlink ref="D2087" r:id="rId_hyperlink_1872"/>
    <hyperlink ref="D2088" r:id="rId_hyperlink_1873"/>
    <hyperlink ref="D2089" r:id="rId_hyperlink_1874"/>
    <hyperlink ref="D2091" r:id="rId_hyperlink_1875"/>
    <hyperlink ref="D2092" r:id="rId_hyperlink_1876"/>
    <hyperlink ref="D2094" r:id="rId_hyperlink_1877"/>
    <hyperlink ref="D2095" r:id="rId_hyperlink_1878"/>
    <hyperlink ref="D2096" r:id="rId_hyperlink_1879"/>
    <hyperlink ref="D2097" r:id="rId_hyperlink_1880"/>
    <hyperlink ref="D2098" r:id="rId_hyperlink_1881"/>
    <hyperlink ref="D2099" r:id="rId_hyperlink_1882"/>
    <hyperlink ref="D2100" r:id="rId_hyperlink_1883"/>
    <hyperlink ref="D2101" r:id="rId_hyperlink_1884"/>
    <hyperlink ref="D2102" r:id="rId_hyperlink_1885"/>
    <hyperlink ref="D2103" r:id="rId_hyperlink_1886"/>
    <hyperlink ref="D2104" r:id="rId_hyperlink_1887"/>
    <hyperlink ref="D2105" r:id="rId_hyperlink_1888"/>
    <hyperlink ref="D2106" r:id="rId_hyperlink_1889"/>
    <hyperlink ref="D2109" r:id="rId_hyperlink_1890"/>
    <hyperlink ref="D2110" r:id="rId_hyperlink_1891"/>
    <hyperlink ref="D2111" r:id="rId_hyperlink_1892"/>
    <hyperlink ref="D2112" r:id="rId_hyperlink_1893"/>
    <hyperlink ref="D2113" r:id="rId_hyperlink_1894"/>
    <hyperlink ref="D2114" r:id="rId_hyperlink_1895"/>
    <hyperlink ref="D2115" r:id="rId_hyperlink_1896"/>
    <hyperlink ref="D2117" r:id="rId_hyperlink_1897"/>
    <hyperlink ref="D2119" r:id="rId_hyperlink_1898"/>
    <hyperlink ref="D2120" r:id="rId_hyperlink_1899"/>
    <hyperlink ref="D2121" r:id="rId_hyperlink_1900"/>
    <hyperlink ref="D2124" r:id="rId_hyperlink_1901"/>
    <hyperlink ref="D2126" r:id="rId_hyperlink_1902"/>
    <hyperlink ref="D2127" r:id="rId_hyperlink_1903"/>
    <hyperlink ref="D2129" r:id="rId_hyperlink_1904"/>
    <hyperlink ref="D2130" r:id="rId_hyperlink_1905"/>
    <hyperlink ref="D2131" r:id="rId_hyperlink_1906"/>
    <hyperlink ref="D2132" r:id="rId_hyperlink_1907"/>
    <hyperlink ref="D2133" r:id="rId_hyperlink_1908"/>
    <hyperlink ref="D2134" r:id="rId_hyperlink_1909"/>
    <hyperlink ref="D2135" r:id="rId_hyperlink_1910"/>
    <hyperlink ref="D2136" r:id="rId_hyperlink_1911"/>
    <hyperlink ref="D2137" r:id="rId_hyperlink_1912"/>
    <hyperlink ref="D2138" r:id="rId_hyperlink_1913"/>
    <hyperlink ref="D2139" r:id="rId_hyperlink_1914"/>
    <hyperlink ref="D2140" r:id="rId_hyperlink_1915"/>
    <hyperlink ref="D2141" r:id="rId_hyperlink_1916"/>
    <hyperlink ref="D2142" r:id="rId_hyperlink_1917"/>
    <hyperlink ref="D2143" r:id="rId_hyperlink_1918"/>
    <hyperlink ref="D2144" r:id="rId_hyperlink_1919"/>
    <hyperlink ref="D2145" r:id="rId_hyperlink_1920"/>
    <hyperlink ref="D2146" r:id="rId_hyperlink_1921"/>
    <hyperlink ref="D2147" r:id="rId_hyperlink_1922"/>
    <hyperlink ref="D2148" r:id="rId_hyperlink_1923"/>
    <hyperlink ref="D2149" r:id="rId_hyperlink_1924"/>
    <hyperlink ref="D2150" r:id="rId_hyperlink_1925"/>
    <hyperlink ref="D2151" r:id="rId_hyperlink_1926"/>
    <hyperlink ref="D2152" r:id="rId_hyperlink_1927"/>
    <hyperlink ref="D2154" r:id="rId_hyperlink_1928"/>
    <hyperlink ref="D2155" r:id="rId_hyperlink_1929"/>
    <hyperlink ref="D2156" r:id="rId_hyperlink_1930"/>
    <hyperlink ref="D2157" r:id="rId_hyperlink_1931"/>
    <hyperlink ref="D2158" r:id="rId_hyperlink_1932"/>
    <hyperlink ref="D2159" r:id="rId_hyperlink_1933"/>
    <hyperlink ref="D2160" r:id="rId_hyperlink_1934"/>
    <hyperlink ref="D2161" r:id="rId_hyperlink_1935"/>
    <hyperlink ref="D2162" r:id="rId_hyperlink_1936"/>
    <hyperlink ref="D2163" r:id="rId_hyperlink_1937"/>
    <hyperlink ref="D2164" r:id="rId_hyperlink_1938"/>
    <hyperlink ref="D2165" r:id="rId_hyperlink_1939"/>
    <hyperlink ref="D2166" r:id="rId_hyperlink_1940"/>
    <hyperlink ref="D2167" r:id="rId_hyperlink_1941"/>
    <hyperlink ref="D2168" r:id="rId_hyperlink_1942"/>
    <hyperlink ref="D2169" r:id="rId_hyperlink_1943"/>
    <hyperlink ref="D2170" r:id="rId_hyperlink_1944"/>
    <hyperlink ref="D2171" r:id="rId_hyperlink_1945"/>
    <hyperlink ref="D2172" r:id="rId_hyperlink_1946"/>
    <hyperlink ref="D2173" r:id="rId_hyperlink_1947"/>
    <hyperlink ref="D2174" r:id="rId_hyperlink_1948"/>
    <hyperlink ref="D2176" r:id="rId_hyperlink_1949"/>
    <hyperlink ref="D2177" r:id="rId_hyperlink_1950"/>
    <hyperlink ref="D2178" r:id="rId_hyperlink_1951"/>
    <hyperlink ref="D2179" r:id="rId_hyperlink_1952"/>
    <hyperlink ref="D2180" r:id="rId_hyperlink_1953"/>
    <hyperlink ref="D2181" r:id="rId_hyperlink_1954"/>
    <hyperlink ref="D2182" r:id="rId_hyperlink_1955"/>
    <hyperlink ref="D2183" r:id="rId_hyperlink_1956"/>
    <hyperlink ref="D2184" r:id="rId_hyperlink_1957"/>
    <hyperlink ref="D2185" r:id="rId_hyperlink_1958"/>
    <hyperlink ref="D2188" r:id="rId_hyperlink_1959"/>
    <hyperlink ref="D2189" r:id="rId_hyperlink_1960"/>
    <hyperlink ref="D2190" r:id="rId_hyperlink_1961"/>
    <hyperlink ref="D2191" r:id="rId_hyperlink_1962"/>
    <hyperlink ref="D2192" r:id="rId_hyperlink_1963"/>
    <hyperlink ref="D2193" r:id="rId_hyperlink_1964"/>
    <hyperlink ref="D2194" r:id="rId_hyperlink_1965"/>
    <hyperlink ref="D2195" r:id="rId_hyperlink_1966"/>
    <hyperlink ref="D2197" r:id="rId_hyperlink_1967"/>
    <hyperlink ref="D2198" r:id="rId_hyperlink_1968"/>
    <hyperlink ref="D2199" r:id="rId_hyperlink_1969"/>
    <hyperlink ref="D2200" r:id="rId_hyperlink_1970"/>
    <hyperlink ref="D2201" r:id="rId_hyperlink_1971"/>
    <hyperlink ref="D2202" r:id="rId_hyperlink_1972"/>
    <hyperlink ref="D2204" r:id="rId_hyperlink_1973"/>
    <hyperlink ref="D2205" r:id="rId_hyperlink_1974"/>
    <hyperlink ref="D2207" r:id="rId_hyperlink_1975"/>
    <hyperlink ref="D2208" r:id="rId_hyperlink_1976"/>
    <hyperlink ref="D2209" r:id="rId_hyperlink_1977"/>
    <hyperlink ref="D2210" r:id="rId_hyperlink_1978"/>
    <hyperlink ref="D2211" r:id="rId_hyperlink_1979"/>
    <hyperlink ref="D2212" r:id="rId_hyperlink_1980"/>
    <hyperlink ref="D2213" r:id="rId_hyperlink_1981"/>
    <hyperlink ref="D2214" r:id="rId_hyperlink_1982"/>
    <hyperlink ref="D2215" r:id="rId_hyperlink_1983"/>
    <hyperlink ref="D2216" r:id="rId_hyperlink_1984"/>
    <hyperlink ref="D2217" r:id="rId_hyperlink_1985"/>
    <hyperlink ref="D2218" r:id="rId_hyperlink_1986"/>
    <hyperlink ref="D2219" r:id="rId_hyperlink_1987"/>
    <hyperlink ref="D2220" r:id="rId_hyperlink_1988"/>
    <hyperlink ref="D2221" r:id="rId_hyperlink_1989"/>
    <hyperlink ref="D2222" r:id="rId_hyperlink_1990"/>
    <hyperlink ref="D2223" r:id="rId_hyperlink_1991"/>
    <hyperlink ref="D2224" r:id="rId_hyperlink_1992"/>
    <hyperlink ref="D2226" r:id="rId_hyperlink_1993"/>
    <hyperlink ref="D2228" r:id="rId_hyperlink_1994"/>
    <hyperlink ref="D2229" r:id="rId_hyperlink_1995"/>
    <hyperlink ref="D2230" r:id="rId_hyperlink_1996"/>
    <hyperlink ref="D2232" r:id="rId_hyperlink_1997"/>
    <hyperlink ref="D2233" r:id="rId_hyperlink_1998"/>
    <hyperlink ref="D2234" r:id="rId_hyperlink_1999"/>
    <hyperlink ref="D2235" r:id="rId_hyperlink_2000"/>
    <hyperlink ref="D2236" r:id="rId_hyperlink_2001"/>
    <hyperlink ref="D2237" r:id="rId_hyperlink_2002"/>
    <hyperlink ref="D2238" r:id="rId_hyperlink_2003"/>
    <hyperlink ref="D2239" r:id="rId_hyperlink_2004"/>
    <hyperlink ref="D2240" r:id="rId_hyperlink_2005"/>
    <hyperlink ref="D2241" r:id="rId_hyperlink_2006"/>
    <hyperlink ref="D2242" r:id="rId_hyperlink_2007"/>
    <hyperlink ref="D2243" r:id="rId_hyperlink_2008"/>
    <hyperlink ref="D2244" r:id="rId_hyperlink_2009"/>
    <hyperlink ref="D2245" r:id="rId_hyperlink_2010"/>
    <hyperlink ref="D2246" r:id="rId_hyperlink_2011"/>
    <hyperlink ref="D2247" r:id="rId_hyperlink_2012"/>
    <hyperlink ref="D2248" r:id="rId_hyperlink_2013"/>
    <hyperlink ref="D2249" r:id="rId_hyperlink_2014"/>
    <hyperlink ref="D2250" r:id="rId_hyperlink_2015"/>
    <hyperlink ref="D2251" r:id="rId_hyperlink_2016"/>
    <hyperlink ref="D2252" r:id="rId_hyperlink_2017"/>
    <hyperlink ref="D2253" r:id="rId_hyperlink_2018"/>
    <hyperlink ref="D2254" r:id="rId_hyperlink_2019"/>
    <hyperlink ref="D2255" r:id="rId_hyperlink_2020"/>
    <hyperlink ref="D2256" r:id="rId_hyperlink_2021"/>
    <hyperlink ref="D2257" r:id="rId_hyperlink_2022"/>
    <hyperlink ref="D2258" r:id="rId_hyperlink_2023"/>
    <hyperlink ref="D2259" r:id="rId_hyperlink_2024"/>
    <hyperlink ref="D2260" r:id="rId_hyperlink_2025"/>
    <hyperlink ref="D2261" r:id="rId_hyperlink_2026"/>
    <hyperlink ref="D2262" r:id="rId_hyperlink_2027"/>
    <hyperlink ref="D2264" r:id="rId_hyperlink_2028"/>
    <hyperlink ref="D2265" r:id="rId_hyperlink_2029"/>
    <hyperlink ref="D2266" r:id="rId_hyperlink_2030"/>
    <hyperlink ref="D2267" r:id="rId_hyperlink_2031"/>
    <hyperlink ref="D2268" r:id="rId_hyperlink_2032"/>
    <hyperlink ref="D2270" r:id="rId_hyperlink_2033"/>
    <hyperlink ref="D2271" r:id="rId_hyperlink_2034"/>
    <hyperlink ref="D2272" r:id="rId_hyperlink_2035"/>
    <hyperlink ref="D2273" r:id="rId_hyperlink_2036"/>
    <hyperlink ref="D2274" r:id="rId_hyperlink_2037"/>
    <hyperlink ref="D2275" r:id="rId_hyperlink_2038"/>
    <hyperlink ref="D2276" r:id="rId_hyperlink_2039"/>
    <hyperlink ref="D2277" r:id="rId_hyperlink_2040"/>
    <hyperlink ref="D2278" r:id="rId_hyperlink_2041"/>
    <hyperlink ref="D2279" r:id="rId_hyperlink_2042"/>
    <hyperlink ref="D2280" r:id="rId_hyperlink_2043"/>
    <hyperlink ref="D2281" r:id="rId_hyperlink_2044"/>
    <hyperlink ref="D2282" r:id="rId_hyperlink_2045"/>
    <hyperlink ref="D2283" r:id="rId_hyperlink_2046"/>
    <hyperlink ref="D2284" r:id="rId_hyperlink_2047"/>
    <hyperlink ref="D2285" r:id="rId_hyperlink_2048"/>
    <hyperlink ref="D2286" r:id="rId_hyperlink_2049"/>
    <hyperlink ref="D2287" r:id="rId_hyperlink_2050"/>
    <hyperlink ref="D2289" r:id="rId_hyperlink_2051"/>
    <hyperlink ref="D2290" r:id="rId_hyperlink_2052"/>
    <hyperlink ref="D2291" r:id="rId_hyperlink_2053"/>
    <hyperlink ref="D2292" r:id="rId_hyperlink_2054"/>
    <hyperlink ref="D2293" r:id="rId_hyperlink_2055"/>
    <hyperlink ref="D2294" r:id="rId_hyperlink_2056"/>
    <hyperlink ref="D2296" r:id="rId_hyperlink_2057"/>
    <hyperlink ref="D2297" r:id="rId_hyperlink_2058"/>
    <hyperlink ref="D2298" r:id="rId_hyperlink_2059"/>
    <hyperlink ref="D2299" r:id="rId_hyperlink_2060"/>
    <hyperlink ref="D2300" r:id="rId_hyperlink_2061"/>
    <hyperlink ref="D2301" r:id="rId_hyperlink_2062"/>
    <hyperlink ref="D2302" r:id="rId_hyperlink_2063"/>
    <hyperlink ref="D2303" r:id="rId_hyperlink_2064"/>
    <hyperlink ref="D2304" r:id="rId_hyperlink_2065"/>
    <hyperlink ref="D2305" r:id="rId_hyperlink_2066"/>
    <hyperlink ref="D2306" r:id="rId_hyperlink_2067"/>
    <hyperlink ref="D2307" r:id="rId_hyperlink_2068"/>
    <hyperlink ref="D2308" r:id="rId_hyperlink_2069"/>
    <hyperlink ref="D2309" r:id="rId_hyperlink_2070"/>
    <hyperlink ref="D2310" r:id="rId_hyperlink_2071"/>
    <hyperlink ref="D2311" r:id="rId_hyperlink_2072"/>
    <hyperlink ref="D2312" r:id="rId_hyperlink_2073"/>
    <hyperlink ref="D2313" r:id="rId_hyperlink_2074"/>
    <hyperlink ref="D2314" r:id="rId_hyperlink_2075"/>
    <hyperlink ref="D2315" r:id="rId_hyperlink_2076"/>
    <hyperlink ref="D2316" r:id="rId_hyperlink_2077"/>
    <hyperlink ref="D2317" r:id="rId_hyperlink_2078"/>
    <hyperlink ref="D2318" r:id="rId_hyperlink_2079"/>
    <hyperlink ref="D2319" r:id="rId_hyperlink_2080"/>
    <hyperlink ref="D2320" r:id="rId_hyperlink_2081"/>
    <hyperlink ref="D2321" r:id="rId_hyperlink_2082"/>
    <hyperlink ref="D2322" r:id="rId_hyperlink_2083"/>
    <hyperlink ref="D2323" r:id="rId_hyperlink_2084"/>
    <hyperlink ref="D2324" r:id="rId_hyperlink_2085"/>
    <hyperlink ref="D2325" r:id="rId_hyperlink_2086"/>
    <hyperlink ref="D2326" r:id="rId_hyperlink_2087"/>
    <hyperlink ref="D2327" r:id="rId_hyperlink_2088"/>
    <hyperlink ref="D2328" r:id="rId_hyperlink_2089"/>
    <hyperlink ref="D2329" r:id="rId_hyperlink_2090"/>
    <hyperlink ref="D2331" r:id="rId_hyperlink_2091"/>
    <hyperlink ref="D2332" r:id="rId_hyperlink_2092"/>
    <hyperlink ref="D2334" r:id="rId_hyperlink_2093"/>
    <hyperlink ref="D2335" r:id="rId_hyperlink_2094"/>
    <hyperlink ref="D2336" r:id="rId_hyperlink_2095"/>
    <hyperlink ref="D2338" r:id="rId_hyperlink_2096"/>
    <hyperlink ref="D2339" r:id="rId_hyperlink_2097"/>
    <hyperlink ref="D2340" r:id="rId_hyperlink_2098"/>
    <hyperlink ref="D2341" r:id="rId_hyperlink_2099"/>
    <hyperlink ref="D2342" r:id="rId_hyperlink_2100"/>
    <hyperlink ref="D2343" r:id="rId_hyperlink_2101"/>
    <hyperlink ref="D2344" r:id="rId_hyperlink_2102"/>
    <hyperlink ref="D2345" r:id="rId_hyperlink_2103"/>
    <hyperlink ref="D2346" r:id="rId_hyperlink_2104"/>
    <hyperlink ref="D2347" r:id="rId_hyperlink_2105"/>
    <hyperlink ref="D2348" r:id="rId_hyperlink_2106"/>
    <hyperlink ref="D2350" r:id="rId_hyperlink_2107"/>
    <hyperlink ref="D2351" r:id="rId_hyperlink_2108"/>
    <hyperlink ref="D2352" r:id="rId_hyperlink_2109"/>
    <hyperlink ref="D2353" r:id="rId_hyperlink_2110"/>
    <hyperlink ref="D2354" r:id="rId_hyperlink_2111"/>
    <hyperlink ref="D2355" r:id="rId_hyperlink_2112"/>
    <hyperlink ref="D2356" r:id="rId_hyperlink_2113"/>
    <hyperlink ref="D2357" r:id="rId_hyperlink_2114"/>
    <hyperlink ref="D2358" r:id="rId_hyperlink_2115"/>
    <hyperlink ref="D2359" r:id="rId_hyperlink_2116"/>
    <hyperlink ref="D2360" r:id="rId_hyperlink_2117"/>
    <hyperlink ref="D2361" r:id="rId_hyperlink_2118"/>
    <hyperlink ref="D2362" r:id="rId_hyperlink_2119"/>
    <hyperlink ref="D2363" r:id="rId_hyperlink_2120"/>
    <hyperlink ref="D2364" r:id="rId_hyperlink_2121"/>
    <hyperlink ref="D2366" r:id="rId_hyperlink_2122"/>
    <hyperlink ref="D2368" r:id="rId_hyperlink_2123"/>
    <hyperlink ref="D2369" r:id="rId_hyperlink_2124"/>
    <hyperlink ref="D2370" r:id="rId_hyperlink_2125"/>
    <hyperlink ref="D2372" r:id="rId_hyperlink_2126"/>
    <hyperlink ref="D2373" r:id="rId_hyperlink_2127"/>
    <hyperlink ref="D2374" r:id="rId_hyperlink_2128"/>
    <hyperlink ref="D2375" r:id="rId_hyperlink_2129"/>
    <hyperlink ref="D2376" r:id="rId_hyperlink_2130"/>
    <hyperlink ref="D2378" r:id="rId_hyperlink_2131"/>
    <hyperlink ref="D2379" r:id="rId_hyperlink_2132"/>
    <hyperlink ref="D2381" r:id="rId_hyperlink_2133"/>
    <hyperlink ref="D2382" r:id="rId_hyperlink_2134"/>
    <hyperlink ref="D2383" r:id="rId_hyperlink_2135"/>
    <hyperlink ref="D2384" r:id="rId_hyperlink_2136"/>
    <hyperlink ref="D2385" r:id="rId_hyperlink_2137"/>
    <hyperlink ref="D2386" r:id="rId_hyperlink_2138"/>
    <hyperlink ref="D2387" r:id="rId_hyperlink_2139"/>
    <hyperlink ref="D2388" r:id="rId_hyperlink_2140"/>
    <hyperlink ref="D2389" r:id="rId_hyperlink_2141"/>
    <hyperlink ref="D2390" r:id="rId_hyperlink_2142"/>
    <hyperlink ref="D2391" r:id="rId_hyperlink_2143"/>
    <hyperlink ref="D2392" r:id="rId_hyperlink_2144"/>
    <hyperlink ref="D2393" r:id="rId_hyperlink_2145"/>
    <hyperlink ref="D2394" r:id="rId_hyperlink_2146"/>
    <hyperlink ref="D2396" r:id="rId_hyperlink_2147"/>
    <hyperlink ref="D2397" r:id="rId_hyperlink_2148"/>
    <hyperlink ref="D2398" r:id="rId_hyperlink_2149"/>
    <hyperlink ref="D2399" r:id="rId_hyperlink_2150"/>
    <hyperlink ref="D2400" r:id="rId_hyperlink_2151"/>
    <hyperlink ref="D2401" r:id="rId_hyperlink_2152"/>
    <hyperlink ref="D2402" r:id="rId_hyperlink_2153"/>
    <hyperlink ref="D2403" r:id="rId_hyperlink_2154"/>
    <hyperlink ref="D2404" r:id="rId_hyperlink_2155"/>
    <hyperlink ref="D2405" r:id="rId_hyperlink_2156"/>
    <hyperlink ref="D2406" r:id="rId_hyperlink_2157"/>
    <hyperlink ref="D2407" r:id="rId_hyperlink_2158"/>
    <hyperlink ref="D2408" r:id="rId_hyperlink_2159"/>
    <hyperlink ref="D2409" r:id="rId_hyperlink_2160"/>
    <hyperlink ref="D2410" r:id="rId_hyperlink_2161"/>
    <hyperlink ref="D2411" r:id="rId_hyperlink_2162"/>
    <hyperlink ref="D2412" r:id="rId_hyperlink_2163"/>
    <hyperlink ref="D2413" r:id="rId_hyperlink_2164"/>
    <hyperlink ref="D2414" r:id="rId_hyperlink_2165"/>
    <hyperlink ref="D2418" r:id="rId_hyperlink_2166"/>
    <hyperlink ref="D2419" r:id="rId_hyperlink_2167"/>
    <hyperlink ref="D2420" r:id="rId_hyperlink_2168"/>
    <hyperlink ref="D2422" r:id="rId_hyperlink_2169"/>
    <hyperlink ref="D2423" r:id="rId_hyperlink_2170"/>
    <hyperlink ref="D2424" r:id="rId_hyperlink_2171"/>
    <hyperlink ref="D2425" r:id="rId_hyperlink_2172"/>
    <hyperlink ref="D2427" r:id="rId_hyperlink_2173"/>
    <hyperlink ref="D2428" r:id="rId_hyperlink_2174"/>
    <hyperlink ref="D2429" r:id="rId_hyperlink_2175"/>
    <hyperlink ref="D2430" r:id="rId_hyperlink_2176"/>
    <hyperlink ref="D2431" r:id="rId_hyperlink_2177"/>
    <hyperlink ref="D2432" r:id="rId_hyperlink_2178"/>
    <hyperlink ref="D2433" r:id="rId_hyperlink_2179"/>
    <hyperlink ref="D2434" r:id="rId_hyperlink_2180"/>
    <hyperlink ref="D2435" r:id="rId_hyperlink_2181"/>
    <hyperlink ref="D2438" r:id="rId_hyperlink_2182"/>
    <hyperlink ref="D2439" r:id="rId_hyperlink_2183"/>
    <hyperlink ref="D2440" r:id="rId_hyperlink_2184"/>
    <hyperlink ref="D2441" r:id="rId_hyperlink_2185"/>
    <hyperlink ref="D2442" r:id="rId_hyperlink_2186"/>
    <hyperlink ref="D2443" r:id="rId_hyperlink_2187"/>
    <hyperlink ref="D2444" r:id="rId_hyperlink_2188"/>
    <hyperlink ref="D2445" r:id="rId_hyperlink_2189"/>
    <hyperlink ref="D2446" r:id="rId_hyperlink_2190"/>
    <hyperlink ref="D2447" r:id="rId_hyperlink_2191"/>
    <hyperlink ref="D2451" r:id="rId_hyperlink_2192"/>
    <hyperlink ref="D2452" r:id="rId_hyperlink_2193"/>
    <hyperlink ref="D2453" r:id="rId_hyperlink_2194"/>
    <hyperlink ref="D2454" r:id="rId_hyperlink_2195"/>
    <hyperlink ref="D2455" r:id="rId_hyperlink_2196"/>
    <hyperlink ref="D2456" r:id="rId_hyperlink_2197"/>
    <hyperlink ref="D2457" r:id="rId_hyperlink_2198"/>
    <hyperlink ref="D2458" r:id="rId_hyperlink_2199"/>
    <hyperlink ref="D2460" r:id="rId_hyperlink_2200"/>
    <hyperlink ref="D2461" r:id="rId_hyperlink_2201"/>
    <hyperlink ref="D2462" r:id="rId_hyperlink_2202"/>
    <hyperlink ref="D2463" r:id="rId_hyperlink_2203"/>
    <hyperlink ref="D2464" r:id="rId_hyperlink_2204"/>
    <hyperlink ref="D2465" r:id="rId_hyperlink_2205"/>
    <hyperlink ref="D2466" r:id="rId_hyperlink_2206"/>
    <hyperlink ref="D2467" r:id="rId_hyperlink_2207"/>
    <hyperlink ref="D2469" r:id="rId_hyperlink_2208"/>
    <hyperlink ref="D2470" r:id="rId_hyperlink_2209"/>
    <hyperlink ref="D2472" r:id="rId_hyperlink_2210"/>
    <hyperlink ref="D2473" r:id="rId_hyperlink_2211"/>
    <hyperlink ref="D2474" r:id="rId_hyperlink_2212"/>
    <hyperlink ref="D2475" r:id="rId_hyperlink_2213"/>
    <hyperlink ref="D2476" r:id="rId_hyperlink_2214"/>
    <hyperlink ref="D2477" r:id="rId_hyperlink_2215"/>
    <hyperlink ref="D2478" r:id="rId_hyperlink_2216"/>
    <hyperlink ref="D2479" r:id="rId_hyperlink_2217"/>
    <hyperlink ref="D2480" r:id="rId_hyperlink_2218"/>
    <hyperlink ref="D2482" r:id="rId_hyperlink_2219"/>
    <hyperlink ref="D2483" r:id="rId_hyperlink_2220"/>
    <hyperlink ref="D2484" r:id="rId_hyperlink_2221"/>
    <hyperlink ref="D2485" r:id="rId_hyperlink_2222"/>
    <hyperlink ref="D2486" r:id="rId_hyperlink_2223"/>
    <hyperlink ref="D2487" r:id="rId_hyperlink_2224"/>
    <hyperlink ref="D2488" r:id="rId_hyperlink_2225"/>
    <hyperlink ref="D2489" r:id="rId_hyperlink_2226"/>
    <hyperlink ref="D2492" r:id="rId_hyperlink_2227"/>
    <hyperlink ref="D2493" r:id="rId_hyperlink_2228"/>
    <hyperlink ref="D2494" r:id="rId_hyperlink_2229"/>
    <hyperlink ref="D2495" r:id="rId_hyperlink_2230"/>
    <hyperlink ref="D2496" r:id="rId_hyperlink_2231"/>
    <hyperlink ref="D2497" r:id="rId_hyperlink_2232"/>
    <hyperlink ref="D2498" r:id="rId_hyperlink_2233"/>
    <hyperlink ref="D2499" r:id="rId_hyperlink_2234"/>
    <hyperlink ref="D2500" r:id="rId_hyperlink_2235"/>
    <hyperlink ref="D2501" r:id="rId_hyperlink_2236"/>
    <hyperlink ref="D2502" r:id="rId_hyperlink_2237"/>
    <hyperlink ref="D2503" r:id="rId_hyperlink_2238"/>
    <hyperlink ref="D2504" r:id="rId_hyperlink_2239"/>
    <hyperlink ref="D2505" r:id="rId_hyperlink_2240"/>
    <hyperlink ref="D2506" r:id="rId_hyperlink_2241"/>
    <hyperlink ref="D2508" r:id="rId_hyperlink_2242"/>
    <hyperlink ref="D2510" r:id="rId_hyperlink_2243"/>
    <hyperlink ref="D2511" r:id="rId_hyperlink_2244"/>
    <hyperlink ref="D2512" r:id="rId_hyperlink_2245"/>
    <hyperlink ref="D2513" r:id="rId_hyperlink_2246"/>
    <hyperlink ref="D2514" r:id="rId_hyperlink_2247"/>
    <hyperlink ref="D2515" r:id="rId_hyperlink_2248"/>
    <hyperlink ref="D2516" r:id="rId_hyperlink_2249"/>
    <hyperlink ref="D2517" r:id="rId_hyperlink_2250"/>
    <hyperlink ref="D2518" r:id="rId_hyperlink_2251"/>
    <hyperlink ref="D2519" r:id="rId_hyperlink_2252"/>
    <hyperlink ref="D2520" r:id="rId_hyperlink_2253"/>
    <hyperlink ref="D2522" r:id="rId_hyperlink_2254"/>
    <hyperlink ref="D2523" r:id="rId_hyperlink_2255"/>
    <hyperlink ref="D2524" r:id="rId_hyperlink_2256"/>
    <hyperlink ref="D2525" r:id="rId_hyperlink_2257"/>
    <hyperlink ref="D2526" r:id="rId_hyperlink_2258"/>
    <hyperlink ref="D2530" r:id="rId_hyperlink_2259"/>
    <hyperlink ref="D2531" r:id="rId_hyperlink_2260"/>
    <hyperlink ref="D2532" r:id="rId_hyperlink_2261"/>
    <hyperlink ref="D2533" r:id="rId_hyperlink_2262"/>
    <hyperlink ref="D2534" r:id="rId_hyperlink_2263"/>
    <hyperlink ref="D2535" r:id="rId_hyperlink_2264"/>
    <hyperlink ref="D2536" r:id="rId_hyperlink_2265"/>
    <hyperlink ref="D2537" r:id="rId_hyperlink_2266"/>
    <hyperlink ref="D2539" r:id="rId_hyperlink_2267"/>
    <hyperlink ref="D2540" r:id="rId_hyperlink_2268"/>
    <hyperlink ref="D2541" r:id="rId_hyperlink_2269"/>
    <hyperlink ref="D2542" r:id="rId_hyperlink_2270"/>
    <hyperlink ref="D2543" r:id="rId_hyperlink_2271"/>
    <hyperlink ref="D2544" r:id="rId_hyperlink_2272"/>
    <hyperlink ref="D2545" r:id="rId_hyperlink_2273"/>
    <hyperlink ref="D2546" r:id="rId_hyperlink_2274"/>
    <hyperlink ref="D2547" r:id="rId_hyperlink_2275"/>
    <hyperlink ref="D2548" r:id="rId_hyperlink_2276"/>
    <hyperlink ref="D2549" r:id="rId_hyperlink_2277"/>
    <hyperlink ref="D2550" r:id="rId_hyperlink_2278"/>
    <hyperlink ref="D2551" r:id="rId_hyperlink_2279"/>
    <hyperlink ref="D2554" r:id="rId_hyperlink_2280"/>
    <hyperlink ref="D2555" r:id="rId_hyperlink_2281"/>
    <hyperlink ref="D2557" r:id="rId_hyperlink_2282"/>
    <hyperlink ref="D2558" r:id="rId_hyperlink_2283"/>
    <hyperlink ref="D2559" r:id="rId_hyperlink_2284"/>
    <hyperlink ref="D2561" r:id="rId_hyperlink_2285"/>
    <hyperlink ref="D2562" r:id="rId_hyperlink_2286"/>
    <hyperlink ref="D2563" r:id="rId_hyperlink_2287"/>
    <hyperlink ref="D2565" r:id="rId_hyperlink_2288"/>
    <hyperlink ref="D2566" r:id="rId_hyperlink_2289"/>
    <hyperlink ref="D2567" r:id="rId_hyperlink_2290"/>
    <hyperlink ref="D2568" r:id="rId_hyperlink_2291"/>
    <hyperlink ref="D2569" r:id="rId_hyperlink_2292"/>
    <hyperlink ref="D2570" r:id="rId_hyperlink_2293"/>
    <hyperlink ref="D2571" r:id="rId_hyperlink_2294"/>
    <hyperlink ref="D2572" r:id="rId_hyperlink_2295"/>
    <hyperlink ref="D2573" r:id="rId_hyperlink_2296"/>
    <hyperlink ref="D2574" r:id="rId_hyperlink_2297"/>
    <hyperlink ref="D2575" r:id="rId_hyperlink_2298"/>
    <hyperlink ref="D2576" r:id="rId_hyperlink_2299"/>
    <hyperlink ref="D2577" r:id="rId_hyperlink_2300"/>
    <hyperlink ref="D2578" r:id="rId_hyperlink_2301"/>
    <hyperlink ref="D2579" r:id="rId_hyperlink_2302"/>
    <hyperlink ref="D2580" r:id="rId_hyperlink_2303"/>
    <hyperlink ref="D2583" r:id="rId_hyperlink_2304"/>
    <hyperlink ref="D2584" r:id="rId_hyperlink_2305"/>
    <hyperlink ref="D2586" r:id="rId_hyperlink_2306"/>
    <hyperlink ref="D2587" r:id="rId_hyperlink_2307"/>
    <hyperlink ref="D2588" r:id="rId_hyperlink_2308"/>
    <hyperlink ref="D2589" r:id="rId_hyperlink_2309"/>
    <hyperlink ref="D2590" r:id="rId_hyperlink_2310"/>
    <hyperlink ref="D2591" r:id="rId_hyperlink_2311"/>
    <hyperlink ref="D2592" r:id="rId_hyperlink_2312"/>
    <hyperlink ref="D2593" r:id="rId_hyperlink_2313"/>
    <hyperlink ref="D2594" r:id="rId_hyperlink_2314"/>
    <hyperlink ref="D2595" r:id="rId_hyperlink_2315"/>
    <hyperlink ref="D2596" r:id="rId_hyperlink_2316"/>
    <hyperlink ref="D2597" r:id="rId_hyperlink_2317"/>
    <hyperlink ref="D2599" r:id="rId_hyperlink_2318"/>
    <hyperlink ref="D2600" r:id="rId_hyperlink_2319"/>
    <hyperlink ref="D2601" r:id="rId_hyperlink_2320"/>
    <hyperlink ref="D2602" r:id="rId_hyperlink_2321"/>
    <hyperlink ref="D2603" r:id="rId_hyperlink_2322"/>
    <hyperlink ref="D2606" r:id="rId_hyperlink_2323"/>
    <hyperlink ref="D2607" r:id="rId_hyperlink_2324"/>
    <hyperlink ref="D2608" r:id="rId_hyperlink_2325"/>
    <hyperlink ref="D2609" r:id="rId_hyperlink_2326"/>
    <hyperlink ref="D2610" r:id="rId_hyperlink_2327"/>
    <hyperlink ref="D2611" r:id="rId_hyperlink_2328"/>
    <hyperlink ref="D2612" r:id="rId_hyperlink_2329"/>
    <hyperlink ref="D2613" r:id="rId_hyperlink_2330"/>
    <hyperlink ref="D2614" r:id="rId_hyperlink_2331"/>
    <hyperlink ref="D2615" r:id="rId_hyperlink_2332"/>
    <hyperlink ref="D2616" r:id="rId_hyperlink_2333"/>
    <hyperlink ref="D2617" r:id="rId_hyperlink_2334"/>
    <hyperlink ref="D2618" r:id="rId_hyperlink_2335"/>
    <hyperlink ref="D2619" r:id="rId_hyperlink_2336"/>
    <hyperlink ref="D2620" r:id="rId_hyperlink_2337"/>
    <hyperlink ref="D2621" r:id="rId_hyperlink_2338"/>
    <hyperlink ref="D2622" r:id="rId_hyperlink_2339"/>
    <hyperlink ref="D2623" r:id="rId_hyperlink_2340"/>
    <hyperlink ref="D2625" r:id="rId_hyperlink_2341"/>
    <hyperlink ref="D2626" r:id="rId_hyperlink_2342"/>
    <hyperlink ref="D2627" r:id="rId_hyperlink_2343"/>
    <hyperlink ref="D2628" r:id="rId_hyperlink_2344"/>
    <hyperlink ref="D2629" r:id="rId_hyperlink_2345"/>
    <hyperlink ref="D2630" r:id="rId_hyperlink_2346"/>
    <hyperlink ref="D2631" r:id="rId_hyperlink_2347"/>
    <hyperlink ref="D2632" r:id="rId_hyperlink_2348"/>
    <hyperlink ref="D2633" r:id="rId_hyperlink_2349"/>
    <hyperlink ref="D2634" r:id="rId_hyperlink_2350"/>
    <hyperlink ref="D2635" r:id="rId_hyperlink_2351"/>
    <hyperlink ref="D2636" r:id="rId_hyperlink_2352"/>
    <hyperlink ref="D2637" r:id="rId_hyperlink_2353"/>
    <hyperlink ref="D2638" r:id="rId_hyperlink_2354"/>
    <hyperlink ref="D2639" r:id="rId_hyperlink_2355"/>
    <hyperlink ref="D2641" r:id="rId_hyperlink_2356"/>
    <hyperlink ref="D2645" r:id="rId_hyperlink_2357"/>
    <hyperlink ref="D2646" r:id="rId_hyperlink_2358"/>
    <hyperlink ref="D2647" r:id="rId_hyperlink_2359"/>
    <hyperlink ref="D2648" r:id="rId_hyperlink_2360"/>
    <hyperlink ref="D2649" r:id="rId_hyperlink_2361"/>
    <hyperlink ref="D2650" r:id="rId_hyperlink_2362"/>
    <hyperlink ref="D2651" r:id="rId_hyperlink_2363"/>
    <hyperlink ref="D2652" r:id="rId_hyperlink_2364"/>
    <hyperlink ref="D2653" r:id="rId_hyperlink_2365"/>
    <hyperlink ref="D2655" r:id="rId_hyperlink_2366"/>
    <hyperlink ref="D2656" r:id="rId_hyperlink_2367"/>
    <hyperlink ref="D2657" r:id="rId_hyperlink_2368"/>
    <hyperlink ref="D2658" r:id="rId_hyperlink_2369"/>
    <hyperlink ref="D2659" r:id="rId_hyperlink_2370"/>
    <hyperlink ref="D2660" r:id="rId_hyperlink_2371"/>
    <hyperlink ref="D2661" r:id="rId_hyperlink_2372"/>
    <hyperlink ref="D2663" r:id="rId_hyperlink_2373"/>
    <hyperlink ref="D2664" r:id="rId_hyperlink_2374"/>
    <hyperlink ref="D2665" r:id="rId_hyperlink_2375"/>
    <hyperlink ref="D2666" r:id="rId_hyperlink_2376"/>
    <hyperlink ref="D2667" r:id="rId_hyperlink_2377"/>
    <hyperlink ref="D2668" r:id="rId_hyperlink_2378"/>
    <hyperlink ref="D2669" r:id="rId_hyperlink_2379"/>
    <hyperlink ref="D2671" r:id="rId_hyperlink_2380"/>
    <hyperlink ref="D2672" r:id="rId_hyperlink_2381"/>
    <hyperlink ref="D2673" r:id="rId_hyperlink_2382"/>
    <hyperlink ref="D2674" r:id="rId_hyperlink_2383"/>
    <hyperlink ref="D2675" r:id="rId_hyperlink_2384"/>
    <hyperlink ref="D2676" r:id="rId_hyperlink_2385"/>
    <hyperlink ref="D2678" r:id="rId_hyperlink_2386"/>
    <hyperlink ref="D2679" r:id="rId_hyperlink_2387"/>
    <hyperlink ref="D2680" r:id="rId_hyperlink_2388"/>
    <hyperlink ref="D2681" r:id="rId_hyperlink_2389"/>
    <hyperlink ref="D2682" r:id="rId_hyperlink_2390"/>
    <hyperlink ref="D2683" r:id="rId_hyperlink_2391"/>
    <hyperlink ref="D2684" r:id="rId_hyperlink_2392"/>
    <hyperlink ref="D2685" r:id="rId_hyperlink_2393"/>
    <hyperlink ref="D2686" r:id="rId_hyperlink_2394"/>
    <hyperlink ref="D2687" r:id="rId_hyperlink_2395"/>
    <hyperlink ref="D2688" r:id="rId_hyperlink_2396"/>
    <hyperlink ref="D2689" r:id="rId_hyperlink_2397"/>
    <hyperlink ref="D2690" r:id="rId_hyperlink_2398"/>
    <hyperlink ref="D2691" r:id="rId_hyperlink_2399"/>
    <hyperlink ref="D2692" r:id="rId_hyperlink_2400"/>
    <hyperlink ref="D2695" r:id="rId_hyperlink_2401"/>
    <hyperlink ref="D2696" r:id="rId_hyperlink_2402"/>
    <hyperlink ref="D2697" r:id="rId_hyperlink_2403"/>
    <hyperlink ref="D2699" r:id="rId_hyperlink_2404"/>
    <hyperlink ref="D2700" r:id="rId_hyperlink_2405"/>
    <hyperlink ref="D2701" r:id="rId_hyperlink_2406"/>
    <hyperlink ref="D2702" r:id="rId_hyperlink_2407"/>
    <hyperlink ref="D2703" r:id="rId_hyperlink_2408"/>
    <hyperlink ref="D2705" r:id="rId_hyperlink_2409"/>
    <hyperlink ref="D2706" r:id="rId_hyperlink_2410"/>
    <hyperlink ref="D2707" r:id="rId_hyperlink_2411"/>
    <hyperlink ref="D2708" r:id="rId_hyperlink_2412"/>
    <hyperlink ref="D2711" r:id="rId_hyperlink_2413"/>
    <hyperlink ref="D2712" r:id="rId_hyperlink_2414"/>
    <hyperlink ref="D2713" r:id="rId_hyperlink_2415"/>
    <hyperlink ref="D2714" r:id="rId_hyperlink_2416"/>
    <hyperlink ref="D2715" r:id="rId_hyperlink_2417"/>
    <hyperlink ref="D2716" r:id="rId_hyperlink_2418"/>
    <hyperlink ref="D2717" r:id="rId_hyperlink_2419"/>
    <hyperlink ref="D2719" r:id="rId_hyperlink_2420"/>
    <hyperlink ref="D2720" r:id="rId_hyperlink_2421"/>
    <hyperlink ref="D2721" r:id="rId_hyperlink_2422"/>
    <hyperlink ref="D2722" r:id="rId_hyperlink_2423"/>
    <hyperlink ref="D2723" r:id="rId_hyperlink_2424"/>
    <hyperlink ref="D2724" r:id="rId_hyperlink_2425"/>
    <hyperlink ref="D2725" r:id="rId_hyperlink_2426"/>
    <hyperlink ref="D2726" r:id="rId_hyperlink_2427"/>
    <hyperlink ref="D2727" r:id="rId_hyperlink_2428"/>
    <hyperlink ref="D2728" r:id="rId_hyperlink_2429"/>
    <hyperlink ref="D2729" r:id="rId_hyperlink_2430"/>
    <hyperlink ref="D2730" r:id="rId_hyperlink_2431"/>
    <hyperlink ref="D2731" r:id="rId_hyperlink_2432"/>
    <hyperlink ref="D2733" r:id="rId_hyperlink_2433"/>
    <hyperlink ref="D2734" r:id="rId_hyperlink_2434"/>
    <hyperlink ref="D2735" r:id="rId_hyperlink_2435"/>
    <hyperlink ref="D2736" r:id="rId_hyperlink_2436"/>
    <hyperlink ref="D2737" r:id="rId_hyperlink_2437"/>
    <hyperlink ref="D2738" r:id="rId_hyperlink_2438"/>
    <hyperlink ref="D2739" r:id="rId_hyperlink_2439"/>
    <hyperlink ref="D2740" r:id="rId_hyperlink_2440"/>
    <hyperlink ref="D2741" r:id="rId_hyperlink_2441"/>
    <hyperlink ref="D2742" r:id="rId_hyperlink_2442"/>
    <hyperlink ref="D2743" r:id="rId_hyperlink_2443"/>
    <hyperlink ref="D2745" r:id="rId_hyperlink_2444"/>
    <hyperlink ref="D2746" r:id="rId_hyperlink_2445"/>
    <hyperlink ref="D2748" r:id="rId_hyperlink_2446"/>
    <hyperlink ref="D2749" r:id="rId_hyperlink_2447"/>
    <hyperlink ref="D2750" r:id="rId_hyperlink_2448"/>
    <hyperlink ref="D2751" r:id="rId_hyperlink_2449"/>
    <hyperlink ref="D2752" r:id="rId_hyperlink_2450"/>
    <hyperlink ref="D2753" r:id="rId_hyperlink_2451"/>
    <hyperlink ref="D2754" r:id="rId_hyperlink_2452"/>
    <hyperlink ref="D2755" r:id="rId_hyperlink_2453"/>
    <hyperlink ref="D2757" r:id="rId_hyperlink_2454"/>
    <hyperlink ref="D2758" r:id="rId_hyperlink_2455"/>
    <hyperlink ref="D2759" r:id="rId_hyperlink_2456"/>
    <hyperlink ref="D2760" r:id="rId_hyperlink_2457"/>
    <hyperlink ref="D2761" r:id="rId_hyperlink_2458"/>
    <hyperlink ref="D2762" r:id="rId_hyperlink_2459"/>
    <hyperlink ref="D2763" r:id="rId_hyperlink_2460"/>
    <hyperlink ref="D2764" r:id="rId_hyperlink_2461"/>
    <hyperlink ref="D2765" r:id="rId_hyperlink_2462"/>
    <hyperlink ref="D2766" r:id="rId_hyperlink_2463"/>
    <hyperlink ref="D2767" r:id="rId_hyperlink_2464"/>
    <hyperlink ref="D2768" r:id="rId_hyperlink_2465"/>
    <hyperlink ref="D2769" r:id="rId_hyperlink_2466"/>
    <hyperlink ref="D2770" r:id="rId_hyperlink_2467"/>
    <hyperlink ref="D2771" r:id="rId_hyperlink_2468"/>
    <hyperlink ref="D2772" r:id="rId_hyperlink_2469"/>
    <hyperlink ref="D2773" r:id="rId_hyperlink_2470"/>
    <hyperlink ref="D2774" r:id="rId_hyperlink_2471"/>
    <hyperlink ref="D2775" r:id="rId_hyperlink_2472"/>
    <hyperlink ref="D2776" r:id="rId_hyperlink_2473"/>
    <hyperlink ref="D2777" r:id="rId_hyperlink_2474"/>
    <hyperlink ref="D2780" r:id="rId_hyperlink_2475"/>
    <hyperlink ref="D2781" r:id="rId_hyperlink_2476"/>
    <hyperlink ref="D2782" r:id="rId_hyperlink_2477"/>
    <hyperlink ref="D2783" r:id="rId_hyperlink_2478"/>
    <hyperlink ref="D2784" r:id="rId_hyperlink_2479"/>
    <hyperlink ref="D2786" r:id="rId_hyperlink_2480"/>
    <hyperlink ref="D2787" r:id="rId_hyperlink_2481"/>
    <hyperlink ref="D2788" r:id="rId_hyperlink_2482"/>
    <hyperlink ref="D2789" r:id="rId_hyperlink_2483"/>
    <hyperlink ref="D2790" r:id="rId_hyperlink_2484"/>
    <hyperlink ref="D2791" r:id="rId_hyperlink_2485"/>
    <hyperlink ref="D2792" r:id="rId_hyperlink_2486"/>
    <hyperlink ref="D2793" r:id="rId_hyperlink_2487"/>
    <hyperlink ref="D2794" r:id="rId_hyperlink_2488"/>
    <hyperlink ref="D2795" r:id="rId_hyperlink_2489"/>
    <hyperlink ref="D2796" r:id="rId_hyperlink_2490"/>
    <hyperlink ref="D2798" r:id="rId_hyperlink_2491"/>
    <hyperlink ref="D2799" r:id="rId_hyperlink_2492"/>
    <hyperlink ref="D2801" r:id="rId_hyperlink_2493"/>
    <hyperlink ref="D2802" r:id="rId_hyperlink_2494"/>
    <hyperlink ref="D2804" r:id="rId_hyperlink_2495"/>
    <hyperlink ref="D2805" r:id="rId_hyperlink_2496"/>
    <hyperlink ref="D2806" r:id="rId_hyperlink_2497"/>
    <hyperlink ref="D2807" r:id="rId_hyperlink_2498"/>
    <hyperlink ref="D2808" r:id="rId_hyperlink_2499"/>
    <hyperlink ref="D2809" r:id="rId_hyperlink_2500"/>
    <hyperlink ref="D2810" r:id="rId_hyperlink_2501"/>
    <hyperlink ref="D2811" r:id="rId_hyperlink_2502"/>
    <hyperlink ref="D2812" r:id="rId_hyperlink_2503"/>
    <hyperlink ref="D2813" r:id="rId_hyperlink_2504"/>
    <hyperlink ref="D2814" r:id="rId_hyperlink_2505"/>
    <hyperlink ref="D2817" r:id="rId_hyperlink_2506"/>
    <hyperlink ref="D2819" r:id="rId_hyperlink_2507"/>
    <hyperlink ref="D2820" r:id="rId_hyperlink_2508"/>
    <hyperlink ref="D2821" r:id="rId_hyperlink_2509"/>
    <hyperlink ref="D2822" r:id="rId_hyperlink_2510"/>
    <hyperlink ref="D2823" r:id="rId_hyperlink_2511"/>
    <hyperlink ref="D2824" r:id="rId_hyperlink_2512"/>
    <hyperlink ref="D2825" r:id="rId_hyperlink_2513"/>
    <hyperlink ref="D2826" r:id="rId_hyperlink_2514"/>
    <hyperlink ref="D2827" r:id="rId_hyperlink_2515"/>
    <hyperlink ref="D2828" r:id="rId_hyperlink_2516"/>
    <hyperlink ref="D2829" r:id="rId_hyperlink_2517"/>
    <hyperlink ref="D2830" r:id="rId_hyperlink_2518"/>
    <hyperlink ref="D2831" r:id="rId_hyperlink_2519"/>
    <hyperlink ref="D2832" r:id="rId_hyperlink_2520"/>
    <hyperlink ref="D2833" r:id="rId_hyperlink_2521"/>
    <hyperlink ref="D2834" r:id="rId_hyperlink_2522"/>
    <hyperlink ref="D2835" r:id="rId_hyperlink_2523"/>
    <hyperlink ref="D2836" r:id="rId_hyperlink_2524"/>
    <hyperlink ref="D2837" r:id="rId_hyperlink_2525"/>
    <hyperlink ref="D2838" r:id="rId_hyperlink_2526"/>
    <hyperlink ref="D2839" r:id="rId_hyperlink_2527"/>
    <hyperlink ref="D2843" r:id="rId_hyperlink_2528"/>
    <hyperlink ref="D2844" r:id="rId_hyperlink_2529"/>
    <hyperlink ref="D2845" r:id="rId_hyperlink_2530"/>
    <hyperlink ref="D2846" r:id="rId_hyperlink_2531"/>
    <hyperlink ref="D2848" r:id="rId_hyperlink_2532"/>
    <hyperlink ref="D2849" r:id="rId_hyperlink_2533"/>
    <hyperlink ref="D2852" r:id="rId_hyperlink_2534"/>
    <hyperlink ref="D2853" r:id="rId_hyperlink_2535"/>
    <hyperlink ref="D2856" r:id="rId_hyperlink_2536"/>
    <hyperlink ref="D2857" r:id="rId_hyperlink_2537"/>
    <hyperlink ref="D2858" r:id="rId_hyperlink_2538"/>
    <hyperlink ref="D2859" r:id="rId_hyperlink_2539"/>
    <hyperlink ref="D2860" r:id="rId_hyperlink_2540"/>
    <hyperlink ref="D2861" r:id="rId_hyperlink_2541"/>
    <hyperlink ref="D2862" r:id="rId_hyperlink_2542"/>
    <hyperlink ref="D2863" r:id="rId_hyperlink_2543"/>
    <hyperlink ref="D2864" r:id="rId_hyperlink_2544"/>
    <hyperlink ref="D2865" r:id="rId_hyperlink_2545"/>
    <hyperlink ref="D2867" r:id="rId_hyperlink_2546"/>
    <hyperlink ref="D2868" r:id="rId_hyperlink_2547"/>
    <hyperlink ref="D2869" r:id="rId_hyperlink_2548"/>
    <hyperlink ref="D2870" r:id="rId_hyperlink_2549"/>
    <hyperlink ref="D2871" r:id="rId_hyperlink_2550"/>
    <hyperlink ref="D2872" r:id="rId_hyperlink_2551"/>
    <hyperlink ref="D2873" r:id="rId_hyperlink_2552"/>
    <hyperlink ref="D2874" r:id="rId_hyperlink_2553"/>
    <hyperlink ref="D2875" r:id="rId_hyperlink_2554"/>
    <hyperlink ref="D2876" r:id="rId_hyperlink_2555"/>
    <hyperlink ref="D2878" r:id="rId_hyperlink_2556"/>
    <hyperlink ref="D2879" r:id="rId_hyperlink_2557"/>
    <hyperlink ref="D2880" r:id="rId_hyperlink_2558"/>
    <hyperlink ref="D2881" r:id="rId_hyperlink_2559"/>
    <hyperlink ref="D2882" r:id="rId_hyperlink_2560"/>
    <hyperlink ref="D2884" r:id="rId_hyperlink_2561"/>
    <hyperlink ref="D2885" r:id="rId_hyperlink_2562"/>
    <hyperlink ref="D2886" r:id="rId_hyperlink_2563"/>
    <hyperlink ref="D2888" r:id="rId_hyperlink_2564"/>
    <hyperlink ref="D2889" r:id="rId_hyperlink_2565"/>
    <hyperlink ref="D2891" r:id="rId_hyperlink_2566"/>
    <hyperlink ref="D2892" r:id="rId_hyperlink_2567"/>
    <hyperlink ref="D2893" r:id="rId_hyperlink_2568"/>
    <hyperlink ref="D2894" r:id="rId_hyperlink_2569"/>
    <hyperlink ref="D2896" r:id="rId_hyperlink_2570"/>
    <hyperlink ref="D2897" r:id="rId_hyperlink_2571"/>
    <hyperlink ref="D2898" r:id="rId_hyperlink_2572"/>
    <hyperlink ref="D2902" r:id="rId_hyperlink_2573"/>
    <hyperlink ref="D2903" r:id="rId_hyperlink_2574"/>
    <hyperlink ref="D2904" r:id="rId_hyperlink_2575"/>
    <hyperlink ref="D2906" r:id="rId_hyperlink_2576"/>
    <hyperlink ref="D2907" r:id="rId_hyperlink_2577"/>
    <hyperlink ref="D2908" r:id="rId_hyperlink_2578"/>
    <hyperlink ref="D2909" r:id="rId_hyperlink_2579"/>
    <hyperlink ref="D2910" r:id="rId_hyperlink_2580"/>
    <hyperlink ref="D2913" r:id="rId_hyperlink_2581"/>
    <hyperlink ref="D2914" r:id="rId_hyperlink_2582"/>
    <hyperlink ref="D2915" r:id="rId_hyperlink_2583"/>
    <hyperlink ref="D2916" r:id="rId_hyperlink_2584"/>
    <hyperlink ref="D2917" r:id="rId_hyperlink_2585"/>
    <hyperlink ref="D2918" r:id="rId_hyperlink_2586"/>
    <hyperlink ref="D2919" r:id="rId_hyperlink_2587"/>
    <hyperlink ref="D2920" r:id="rId_hyperlink_2588"/>
    <hyperlink ref="D2921" r:id="rId_hyperlink_2589"/>
    <hyperlink ref="D2922" r:id="rId_hyperlink_2590"/>
    <hyperlink ref="D2923" r:id="rId_hyperlink_2591"/>
    <hyperlink ref="D2924" r:id="rId_hyperlink_2592"/>
    <hyperlink ref="D2925" r:id="rId_hyperlink_2593"/>
    <hyperlink ref="D2926" r:id="rId_hyperlink_2594"/>
    <hyperlink ref="D2927" r:id="rId_hyperlink_2595"/>
    <hyperlink ref="D2928" r:id="rId_hyperlink_2596"/>
    <hyperlink ref="D2929" r:id="rId_hyperlink_2597"/>
    <hyperlink ref="D2930" r:id="rId_hyperlink_2598"/>
    <hyperlink ref="D2931" r:id="rId_hyperlink_2599"/>
    <hyperlink ref="D2932" r:id="rId_hyperlink_2600"/>
    <hyperlink ref="D2933" r:id="rId_hyperlink_2601"/>
    <hyperlink ref="D2934" r:id="rId_hyperlink_2602"/>
    <hyperlink ref="D2935" r:id="rId_hyperlink_2603"/>
    <hyperlink ref="D2936" r:id="rId_hyperlink_2604"/>
    <hyperlink ref="D2937" r:id="rId_hyperlink_2605"/>
    <hyperlink ref="D2939" r:id="rId_hyperlink_2606"/>
    <hyperlink ref="D2941" r:id="rId_hyperlink_2607"/>
    <hyperlink ref="D2942" r:id="rId_hyperlink_2608"/>
    <hyperlink ref="D2944" r:id="rId_hyperlink_2609"/>
    <hyperlink ref="D2945" r:id="rId_hyperlink_2610"/>
    <hyperlink ref="D2946" r:id="rId_hyperlink_2611"/>
    <hyperlink ref="D2947" r:id="rId_hyperlink_2612"/>
    <hyperlink ref="D2948" r:id="rId_hyperlink_2613"/>
    <hyperlink ref="D2949" r:id="rId_hyperlink_2614"/>
    <hyperlink ref="D2950" r:id="rId_hyperlink_2615"/>
    <hyperlink ref="D2951" r:id="rId_hyperlink_2616"/>
    <hyperlink ref="D2952" r:id="rId_hyperlink_2617"/>
    <hyperlink ref="D2953" r:id="rId_hyperlink_2618"/>
    <hyperlink ref="D2955" r:id="rId_hyperlink_2619"/>
    <hyperlink ref="D2956" r:id="rId_hyperlink_2620"/>
    <hyperlink ref="D2957" r:id="rId_hyperlink_2621"/>
    <hyperlink ref="D2958" r:id="rId_hyperlink_2622"/>
    <hyperlink ref="D2959" r:id="rId_hyperlink_2623"/>
    <hyperlink ref="D2960" r:id="rId_hyperlink_2624"/>
    <hyperlink ref="D2961" r:id="rId_hyperlink_2625"/>
    <hyperlink ref="D2962" r:id="rId_hyperlink_2626"/>
    <hyperlink ref="D2963" r:id="rId_hyperlink_2627"/>
    <hyperlink ref="D2964" r:id="rId_hyperlink_2628"/>
    <hyperlink ref="D2965" r:id="rId_hyperlink_2629"/>
    <hyperlink ref="D2967" r:id="rId_hyperlink_2630"/>
    <hyperlink ref="D2968" r:id="rId_hyperlink_2631"/>
    <hyperlink ref="D2969" r:id="rId_hyperlink_2632"/>
    <hyperlink ref="D2970" r:id="rId_hyperlink_2633"/>
    <hyperlink ref="D2971" r:id="rId_hyperlink_2634"/>
    <hyperlink ref="D2972" r:id="rId_hyperlink_2635"/>
    <hyperlink ref="D2973" r:id="rId_hyperlink_2636"/>
    <hyperlink ref="D2975" r:id="rId_hyperlink_2637"/>
    <hyperlink ref="D2978" r:id="rId_hyperlink_2638"/>
    <hyperlink ref="D2982" r:id="rId_hyperlink_2639"/>
    <hyperlink ref="D2983" r:id="rId_hyperlink_2640"/>
    <hyperlink ref="D2984" r:id="rId_hyperlink_2641"/>
    <hyperlink ref="D2985" r:id="rId_hyperlink_2642"/>
    <hyperlink ref="D2987" r:id="rId_hyperlink_2643"/>
    <hyperlink ref="D2988" r:id="rId_hyperlink_2644"/>
    <hyperlink ref="D2989" r:id="rId_hyperlink_2645"/>
    <hyperlink ref="D2990" r:id="rId_hyperlink_2646"/>
    <hyperlink ref="D2991" r:id="rId_hyperlink_2647"/>
    <hyperlink ref="D2993" r:id="rId_hyperlink_2648"/>
    <hyperlink ref="D2994" r:id="rId_hyperlink_2649"/>
    <hyperlink ref="D2995" r:id="rId_hyperlink_2650"/>
    <hyperlink ref="D2996" r:id="rId_hyperlink_2651"/>
    <hyperlink ref="D2997" r:id="rId_hyperlink_2652"/>
    <hyperlink ref="D2998" r:id="rId_hyperlink_2653"/>
    <hyperlink ref="D2999" r:id="rId_hyperlink_2654"/>
    <hyperlink ref="D3000" r:id="rId_hyperlink_2655"/>
    <hyperlink ref="D3003" r:id="rId_hyperlink_2656"/>
    <hyperlink ref="D3004" r:id="rId_hyperlink_2657"/>
    <hyperlink ref="D3006" r:id="rId_hyperlink_2658"/>
    <hyperlink ref="D3007" r:id="rId_hyperlink_2659"/>
    <hyperlink ref="D3008" r:id="rId_hyperlink_2660"/>
    <hyperlink ref="D3009" r:id="rId_hyperlink_2661"/>
    <hyperlink ref="D3010" r:id="rId_hyperlink_2662"/>
    <hyperlink ref="D3012" r:id="rId_hyperlink_2663"/>
    <hyperlink ref="D3013" r:id="rId_hyperlink_2664"/>
    <hyperlink ref="D3014" r:id="rId_hyperlink_2665"/>
    <hyperlink ref="D3015" r:id="rId_hyperlink_2666"/>
    <hyperlink ref="D3016" r:id="rId_hyperlink_2667"/>
    <hyperlink ref="D3017" r:id="rId_hyperlink_2668"/>
    <hyperlink ref="D3018" r:id="rId_hyperlink_2669"/>
    <hyperlink ref="D3019" r:id="rId_hyperlink_2670"/>
    <hyperlink ref="D3020" r:id="rId_hyperlink_2671"/>
    <hyperlink ref="D3021" r:id="rId_hyperlink_2672"/>
    <hyperlink ref="D3022" r:id="rId_hyperlink_2673"/>
    <hyperlink ref="D3023" r:id="rId_hyperlink_2674"/>
    <hyperlink ref="D3024" r:id="rId_hyperlink_2675"/>
    <hyperlink ref="D3027" r:id="rId_hyperlink_2676"/>
    <hyperlink ref="D3029" r:id="rId_hyperlink_2677"/>
    <hyperlink ref="D3030" r:id="rId_hyperlink_2678"/>
    <hyperlink ref="D3032" r:id="rId_hyperlink_2679"/>
    <hyperlink ref="D3033" r:id="rId_hyperlink_2680"/>
    <hyperlink ref="D3034" r:id="rId_hyperlink_2681"/>
    <hyperlink ref="D3035" r:id="rId_hyperlink_2682"/>
    <hyperlink ref="D3036" r:id="rId_hyperlink_2683"/>
    <hyperlink ref="D3037" r:id="rId_hyperlink_2684"/>
    <hyperlink ref="D3038" r:id="rId_hyperlink_2685"/>
    <hyperlink ref="D3039" r:id="rId_hyperlink_2686"/>
    <hyperlink ref="D3040" r:id="rId_hyperlink_2687"/>
    <hyperlink ref="D3041" r:id="rId_hyperlink_2688"/>
    <hyperlink ref="D3042" r:id="rId_hyperlink_2689"/>
    <hyperlink ref="D3043" r:id="rId_hyperlink_2690"/>
    <hyperlink ref="D3044" r:id="rId_hyperlink_2691"/>
    <hyperlink ref="D3045" r:id="rId_hyperlink_2692"/>
    <hyperlink ref="D3047" r:id="rId_hyperlink_2693"/>
    <hyperlink ref="D3048" r:id="rId_hyperlink_2694"/>
    <hyperlink ref="D3049" r:id="rId_hyperlink_2695"/>
    <hyperlink ref="D3050" r:id="rId_hyperlink_2696"/>
    <hyperlink ref="D3051" r:id="rId_hyperlink_2697"/>
    <hyperlink ref="D3052" r:id="rId_hyperlink_2698"/>
    <hyperlink ref="D3053" r:id="rId_hyperlink_2699"/>
    <hyperlink ref="D3056" r:id="rId_hyperlink_2700"/>
    <hyperlink ref="D3057" r:id="rId_hyperlink_2701"/>
    <hyperlink ref="D3058" r:id="rId_hyperlink_2702"/>
    <hyperlink ref="D3059" r:id="rId_hyperlink_2703"/>
    <hyperlink ref="D3060" r:id="rId_hyperlink_2704"/>
    <hyperlink ref="D3061" r:id="rId_hyperlink_2705"/>
    <hyperlink ref="D3062" r:id="rId_hyperlink_2706"/>
    <hyperlink ref="D3063" r:id="rId_hyperlink_2707"/>
    <hyperlink ref="D3064" r:id="rId_hyperlink_2708"/>
    <hyperlink ref="D3065" r:id="rId_hyperlink_2709"/>
    <hyperlink ref="D3066" r:id="rId_hyperlink_2710"/>
    <hyperlink ref="D3067" r:id="rId_hyperlink_2711"/>
    <hyperlink ref="D3068" r:id="rId_hyperlink_2712"/>
    <hyperlink ref="D3069" r:id="rId_hyperlink_2713"/>
    <hyperlink ref="D3070" r:id="rId_hyperlink_2714"/>
    <hyperlink ref="D3071" r:id="rId_hyperlink_2715"/>
    <hyperlink ref="D3072" r:id="rId_hyperlink_2716"/>
    <hyperlink ref="D3073" r:id="rId_hyperlink_2717"/>
    <hyperlink ref="D3074" r:id="rId_hyperlink_2718"/>
    <hyperlink ref="D3076" r:id="rId_hyperlink_2719"/>
    <hyperlink ref="D3077" r:id="rId_hyperlink_2720"/>
    <hyperlink ref="D3078" r:id="rId_hyperlink_2721"/>
    <hyperlink ref="D3079" r:id="rId_hyperlink_2722"/>
    <hyperlink ref="D3080" r:id="rId_hyperlink_2723"/>
    <hyperlink ref="D3081" r:id="rId_hyperlink_2724"/>
    <hyperlink ref="D3082" r:id="rId_hyperlink_2725"/>
    <hyperlink ref="D3083" r:id="rId_hyperlink_2726"/>
    <hyperlink ref="D3084" r:id="rId_hyperlink_2727"/>
    <hyperlink ref="D3085" r:id="rId_hyperlink_2728"/>
    <hyperlink ref="D3086" r:id="rId_hyperlink_2729"/>
    <hyperlink ref="D3087" r:id="rId_hyperlink_2730"/>
    <hyperlink ref="D3088" r:id="rId_hyperlink_2731"/>
    <hyperlink ref="D3089" r:id="rId_hyperlink_2732"/>
    <hyperlink ref="D3090" r:id="rId_hyperlink_2733"/>
    <hyperlink ref="D3091" r:id="rId_hyperlink_2734"/>
    <hyperlink ref="D3093" r:id="rId_hyperlink_2735"/>
    <hyperlink ref="D3094" r:id="rId_hyperlink_2736"/>
    <hyperlink ref="D3095" r:id="rId_hyperlink_2737"/>
    <hyperlink ref="D3096" r:id="rId_hyperlink_2738"/>
    <hyperlink ref="D3097" r:id="rId_hyperlink_2739"/>
    <hyperlink ref="D3098" r:id="rId_hyperlink_2740"/>
    <hyperlink ref="D3100" r:id="rId_hyperlink_2741"/>
    <hyperlink ref="D3101" r:id="rId_hyperlink_2742"/>
    <hyperlink ref="D3102" r:id="rId_hyperlink_2743"/>
    <hyperlink ref="D3103" r:id="rId_hyperlink_2744"/>
    <hyperlink ref="D3104" r:id="rId_hyperlink_2745"/>
    <hyperlink ref="D3105" r:id="rId_hyperlink_2746"/>
    <hyperlink ref="D3106" r:id="rId_hyperlink_2747"/>
    <hyperlink ref="D3107" r:id="rId_hyperlink_2748"/>
    <hyperlink ref="D3109" r:id="rId_hyperlink_2749"/>
    <hyperlink ref="D3110" r:id="rId_hyperlink_2750"/>
    <hyperlink ref="D3112" r:id="rId_hyperlink_2751"/>
    <hyperlink ref="D3114" r:id="rId_hyperlink_2752"/>
    <hyperlink ref="D3115" r:id="rId_hyperlink_2753"/>
    <hyperlink ref="D3116" r:id="rId_hyperlink_2754"/>
    <hyperlink ref="D3117" r:id="rId_hyperlink_2755"/>
    <hyperlink ref="D3118" r:id="rId_hyperlink_2756"/>
    <hyperlink ref="D3121" r:id="rId_hyperlink_2757"/>
    <hyperlink ref="D3122" r:id="rId_hyperlink_2758"/>
    <hyperlink ref="D3123" r:id="rId_hyperlink_2759"/>
    <hyperlink ref="D3124" r:id="rId_hyperlink_2760"/>
    <hyperlink ref="D3125" r:id="rId_hyperlink_2761"/>
    <hyperlink ref="D3126" r:id="rId_hyperlink_2762"/>
    <hyperlink ref="D3127" r:id="rId_hyperlink_2763"/>
    <hyperlink ref="D3130" r:id="rId_hyperlink_2764"/>
    <hyperlink ref="D3131" r:id="rId_hyperlink_2765"/>
    <hyperlink ref="D3132" r:id="rId_hyperlink_2766"/>
    <hyperlink ref="D3133" r:id="rId_hyperlink_2767"/>
    <hyperlink ref="D3134" r:id="rId_hyperlink_2768"/>
    <hyperlink ref="D3135" r:id="rId_hyperlink_2769"/>
    <hyperlink ref="D3136" r:id="rId_hyperlink_2770"/>
    <hyperlink ref="D3137" r:id="rId_hyperlink_2771"/>
    <hyperlink ref="D3138" r:id="rId_hyperlink_2772"/>
    <hyperlink ref="D3139" r:id="rId_hyperlink_2773"/>
    <hyperlink ref="D3140" r:id="rId_hyperlink_2774"/>
    <hyperlink ref="D3142" r:id="rId_hyperlink_2775"/>
    <hyperlink ref="D3143" r:id="rId_hyperlink_2776"/>
    <hyperlink ref="D3144" r:id="rId_hyperlink_2777"/>
    <hyperlink ref="D3146" r:id="rId_hyperlink_2778"/>
    <hyperlink ref="D3147" r:id="rId_hyperlink_2779"/>
    <hyperlink ref="D3148" r:id="rId_hyperlink_2780"/>
    <hyperlink ref="D3149" r:id="rId_hyperlink_2781"/>
    <hyperlink ref="D3150" r:id="rId_hyperlink_2782"/>
    <hyperlink ref="D3151" r:id="rId_hyperlink_2783"/>
    <hyperlink ref="D3152" r:id="rId_hyperlink_2784"/>
    <hyperlink ref="D3153" r:id="rId_hyperlink_2785"/>
    <hyperlink ref="D3154" r:id="rId_hyperlink_2786"/>
    <hyperlink ref="D3155" r:id="rId_hyperlink_2787"/>
    <hyperlink ref="D3156" r:id="rId_hyperlink_2788"/>
    <hyperlink ref="D3157" r:id="rId_hyperlink_2789"/>
    <hyperlink ref="D3159" r:id="rId_hyperlink_2790"/>
    <hyperlink ref="D3160" r:id="rId_hyperlink_2791"/>
    <hyperlink ref="D3161" r:id="rId_hyperlink_2792"/>
    <hyperlink ref="D3162" r:id="rId_hyperlink_2793"/>
    <hyperlink ref="D3164" r:id="rId_hyperlink_2794"/>
    <hyperlink ref="D3165" r:id="rId_hyperlink_2795"/>
    <hyperlink ref="D3167" r:id="rId_hyperlink_2796"/>
    <hyperlink ref="D3168" r:id="rId_hyperlink_2797"/>
    <hyperlink ref="D3169" r:id="rId_hyperlink_2798"/>
    <hyperlink ref="D3170" r:id="rId_hyperlink_2799"/>
    <hyperlink ref="D3172" r:id="rId_hyperlink_2800"/>
    <hyperlink ref="D3173" r:id="rId_hyperlink_2801"/>
    <hyperlink ref="D3174" r:id="rId_hyperlink_2802"/>
    <hyperlink ref="D3176" r:id="rId_hyperlink_2803"/>
    <hyperlink ref="D3177" r:id="rId_hyperlink_2804"/>
    <hyperlink ref="D3178" r:id="rId_hyperlink_2805"/>
    <hyperlink ref="D3179" r:id="rId_hyperlink_2806"/>
    <hyperlink ref="D3180" r:id="rId_hyperlink_2807"/>
    <hyperlink ref="D3181" r:id="rId_hyperlink_2808"/>
    <hyperlink ref="D3182" r:id="rId_hyperlink_2809"/>
    <hyperlink ref="D3183" r:id="rId_hyperlink_2810"/>
    <hyperlink ref="D3184" r:id="rId_hyperlink_2811"/>
    <hyperlink ref="D3185" r:id="rId_hyperlink_2812"/>
    <hyperlink ref="D3186" r:id="rId_hyperlink_2813"/>
    <hyperlink ref="D3188" r:id="rId_hyperlink_2814"/>
    <hyperlink ref="D3189" r:id="rId_hyperlink_2815"/>
    <hyperlink ref="D3190" r:id="rId_hyperlink_2816"/>
    <hyperlink ref="D3191" r:id="rId_hyperlink_2817"/>
    <hyperlink ref="D3192" r:id="rId_hyperlink_2818"/>
    <hyperlink ref="D3193" r:id="rId_hyperlink_2819"/>
    <hyperlink ref="D3194" r:id="rId_hyperlink_2820"/>
    <hyperlink ref="D3195" r:id="rId_hyperlink_2821"/>
    <hyperlink ref="D3196" r:id="rId_hyperlink_2822"/>
    <hyperlink ref="D3197" r:id="rId_hyperlink_2823"/>
    <hyperlink ref="D3198" r:id="rId_hyperlink_2824"/>
    <hyperlink ref="D3199" r:id="rId_hyperlink_2825"/>
    <hyperlink ref="D3200" r:id="rId_hyperlink_2826"/>
    <hyperlink ref="D3201" r:id="rId_hyperlink_2827"/>
    <hyperlink ref="D3202" r:id="rId_hyperlink_2828"/>
    <hyperlink ref="D3203" r:id="rId_hyperlink_2829"/>
    <hyperlink ref="D3205" r:id="rId_hyperlink_2830"/>
    <hyperlink ref="D3206" r:id="rId_hyperlink_2831"/>
    <hyperlink ref="D3207" r:id="rId_hyperlink_2832"/>
    <hyperlink ref="D3208" r:id="rId_hyperlink_2833"/>
    <hyperlink ref="D3209" r:id="rId_hyperlink_2834"/>
    <hyperlink ref="D3210" r:id="rId_hyperlink_2835"/>
    <hyperlink ref="D3211" r:id="rId_hyperlink_2836"/>
    <hyperlink ref="D3213" r:id="rId_hyperlink_2837"/>
    <hyperlink ref="D3214" r:id="rId_hyperlink_2838"/>
    <hyperlink ref="D3215" r:id="rId_hyperlink_2839"/>
    <hyperlink ref="D3216" r:id="rId_hyperlink_2840"/>
    <hyperlink ref="D3217" r:id="rId_hyperlink_2841"/>
    <hyperlink ref="D3218" r:id="rId_hyperlink_2842"/>
    <hyperlink ref="D3219" r:id="rId_hyperlink_2843"/>
    <hyperlink ref="D3220" r:id="rId_hyperlink_2844"/>
    <hyperlink ref="D3221" r:id="rId_hyperlink_2845"/>
    <hyperlink ref="D3223" r:id="rId_hyperlink_2846"/>
    <hyperlink ref="D3224" r:id="rId_hyperlink_2847"/>
    <hyperlink ref="D3225" r:id="rId_hyperlink_2848"/>
    <hyperlink ref="D3226" r:id="rId_hyperlink_2849"/>
    <hyperlink ref="D3227" r:id="rId_hyperlink_2850"/>
    <hyperlink ref="D3228" r:id="rId_hyperlink_2851"/>
    <hyperlink ref="D3230" r:id="rId_hyperlink_2852"/>
    <hyperlink ref="D3231" r:id="rId_hyperlink_2853"/>
    <hyperlink ref="D3232" r:id="rId_hyperlink_2854"/>
    <hyperlink ref="D3233" r:id="rId_hyperlink_2855"/>
    <hyperlink ref="D3234" r:id="rId_hyperlink_2856"/>
    <hyperlink ref="D3235" r:id="rId_hyperlink_2857"/>
    <hyperlink ref="D3236" r:id="rId_hyperlink_2858"/>
    <hyperlink ref="D3238" r:id="rId_hyperlink_2859"/>
    <hyperlink ref="D3240" r:id="rId_hyperlink_2860"/>
    <hyperlink ref="D3241" r:id="rId_hyperlink_2861"/>
    <hyperlink ref="D3243" r:id="rId_hyperlink_2862"/>
    <hyperlink ref="D3244" r:id="rId_hyperlink_2863"/>
    <hyperlink ref="D3245" r:id="rId_hyperlink_2864"/>
    <hyperlink ref="D3246" r:id="rId_hyperlink_2865"/>
    <hyperlink ref="D3247" r:id="rId_hyperlink_2866"/>
    <hyperlink ref="D3248" r:id="rId_hyperlink_2867"/>
    <hyperlink ref="D3249" r:id="rId_hyperlink_2868"/>
    <hyperlink ref="D3250" r:id="rId_hyperlink_2869"/>
    <hyperlink ref="D3251" r:id="rId_hyperlink_2870"/>
    <hyperlink ref="D3252" r:id="rId_hyperlink_2871"/>
    <hyperlink ref="D3254" r:id="rId_hyperlink_2872"/>
    <hyperlink ref="D3255" r:id="rId_hyperlink_2873"/>
    <hyperlink ref="D3256" r:id="rId_hyperlink_2874"/>
    <hyperlink ref="D3257" r:id="rId_hyperlink_2875"/>
    <hyperlink ref="D3258" r:id="rId_hyperlink_2876"/>
    <hyperlink ref="D3259" r:id="rId_hyperlink_2877"/>
    <hyperlink ref="D3260" r:id="rId_hyperlink_2878"/>
    <hyperlink ref="D3261" r:id="rId_hyperlink_2879"/>
    <hyperlink ref="D3262" r:id="rId_hyperlink_2880"/>
    <hyperlink ref="D3263" r:id="rId_hyperlink_2881"/>
    <hyperlink ref="D3264" r:id="rId_hyperlink_2882"/>
    <hyperlink ref="D3265" r:id="rId_hyperlink_2883"/>
    <hyperlink ref="D3266" r:id="rId_hyperlink_2884"/>
    <hyperlink ref="D3267" r:id="rId_hyperlink_2885"/>
    <hyperlink ref="D3268" r:id="rId_hyperlink_2886"/>
    <hyperlink ref="D3269" r:id="rId_hyperlink_2887"/>
    <hyperlink ref="D3270" r:id="rId_hyperlink_2888"/>
    <hyperlink ref="D3272" r:id="rId_hyperlink_2889"/>
    <hyperlink ref="D3273" r:id="rId_hyperlink_2890"/>
    <hyperlink ref="D3274" r:id="rId_hyperlink_2891"/>
    <hyperlink ref="D3275" r:id="rId_hyperlink_2892"/>
    <hyperlink ref="D3276" r:id="rId_hyperlink_2893"/>
    <hyperlink ref="D3277" r:id="rId_hyperlink_2894"/>
    <hyperlink ref="D3279" r:id="rId_hyperlink_2895"/>
    <hyperlink ref="D3280" r:id="rId_hyperlink_2896"/>
    <hyperlink ref="D3281" r:id="rId_hyperlink_2897"/>
    <hyperlink ref="D3282" r:id="rId_hyperlink_2898"/>
    <hyperlink ref="D3283" r:id="rId_hyperlink_2899"/>
    <hyperlink ref="D3286" r:id="rId_hyperlink_2900"/>
    <hyperlink ref="D3287" r:id="rId_hyperlink_2901"/>
    <hyperlink ref="D3288" r:id="rId_hyperlink_2902"/>
    <hyperlink ref="D3289" r:id="rId_hyperlink_2903"/>
    <hyperlink ref="D3290" r:id="rId_hyperlink_2904"/>
    <hyperlink ref="D3291" r:id="rId_hyperlink_2905"/>
    <hyperlink ref="D3292" r:id="rId_hyperlink_2906"/>
    <hyperlink ref="D3293" r:id="rId_hyperlink_2907"/>
    <hyperlink ref="D3294" r:id="rId_hyperlink_2908"/>
    <hyperlink ref="D3295" r:id="rId_hyperlink_2909"/>
    <hyperlink ref="D3296" r:id="rId_hyperlink_2910"/>
    <hyperlink ref="D3297" r:id="rId_hyperlink_2911"/>
    <hyperlink ref="D3298" r:id="rId_hyperlink_2912"/>
    <hyperlink ref="D3301" r:id="rId_hyperlink_2913"/>
    <hyperlink ref="D3302" r:id="rId_hyperlink_2914"/>
    <hyperlink ref="D3303" r:id="rId_hyperlink_2915"/>
    <hyperlink ref="D3304" r:id="rId_hyperlink_2916"/>
    <hyperlink ref="D3306" r:id="rId_hyperlink_2917"/>
    <hyperlink ref="D3307" r:id="rId_hyperlink_2918"/>
    <hyperlink ref="D3308" r:id="rId_hyperlink_2919"/>
    <hyperlink ref="D3309" r:id="rId_hyperlink_2920"/>
    <hyperlink ref="D3312" r:id="rId_hyperlink_2921"/>
    <hyperlink ref="D3313" r:id="rId_hyperlink_2922"/>
    <hyperlink ref="D3315" r:id="rId_hyperlink_2923"/>
    <hyperlink ref="D3316" r:id="rId_hyperlink_2924"/>
    <hyperlink ref="D3317" r:id="rId_hyperlink_2925"/>
    <hyperlink ref="D3319" r:id="rId_hyperlink_2926"/>
    <hyperlink ref="D3320" r:id="rId_hyperlink_2927"/>
    <hyperlink ref="D3321" r:id="rId_hyperlink_2928"/>
    <hyperlink ref="D3322" r:id="rId_hyperlink_2929"/>
    <hyperlink ref="D3323" r:id="rId_hyperlink_2930"/>
    <hyperlink ref="D3324" r:id="rId_hyperlink_2931"/>
    <hyperlink ref="D3326" r:id="rId_hyperlink_2932"/>
    <hyperlink ref="D3327" r:id="rId_hyperlink_2933"/>
    <hyperlink ref="D3328" r:id="rId_hyperlink_2934"/>
    <hyperlink ref="D3329" r:id="rId_hyperlink_2935"/>
    <hyperlink ref="D3330" r:id="rId_hyperlink_2936"/>
    <hyperlink ref="D3332" r:id="rId_hyperlink_2937"/>
    <hyperlink ref="D3333" r:id="rId_hyperlink_2938"/>
    <hyperlink ref="D3334" r:id="rId_hyperlink_2939"/>
    <hyperlink ref="D3335" r:id="rId_hyperlink_2940"/>
    <hyperlink ref="D3336" r:id="rId_hyperlink_2941"/>
    <hyperlink ref="D3337" r:id="rId_hyperlink_2942"/>
    <hyperlink ref="D3338" r:id="rId_hyperlink_2943"/>
    <hyperlink ref="D3340" r:id="rId_hyperlink_2944"/>
    <hyperlink ref="D3341" r:id="rId_hyperlink_2945"/>
    <hyperlink ref="D3342" r:id="rId_hyperlink_2946"/>
    <hyperlink ref="D3343" r:id="rId_hyperlink_2947"/>
    <hyperlink ref="D3345" r:id="rId_hyperlink_2948"/>
    <hyperlink ref="D3347" r:id="rId_hyperlink_2949"/>
    <hyperlink ref="D3348" r:id="rId_hyperlink_2950"/>
    <hyperlink ref="D3349" r:id="rId_hyperlink_2951"/>
    <hyperlink ref="D3350" r:id="rId_hyperlink_2952"/>
    <hyperlink ref="D3351" r:id="rId_hyperlink_2953"/>
    <hyperlink ref="D3352" r:id="rId_hyperlink_2954"/>
    <hyperlink ref="D3353" r:id="rId_hyperlink_2955"/>
    <hyperlink ref="D3354" r:id="rId_hyperlink_2956"/>
    <hyperlink ref="D3355" r:id="rId_hyperlink_2957"/>
    <hyperlink ref="D3356" r:id="rId_hyperlink_2958"/>
    <hyperlink ref="D3357" r:id="rId_hyperlink_2959"/>
    <hyperlink ref="D3358" r:id="rId_hyperlink_2960"/>
    <hyperlink ref="D3359" r:id="rId_hyperlink_2961"/>
    <hyperlink ref="D3360" r:id="rId_hyperlink_2962"/>
    <hyperlink ref="D3361" r:id="rId_hyperlink_2963"/>
    <hyperlink ref="D3363" r:id="rId_hyperlink_2964"/>
    <hyperlink ref="D3364" r:id="rId_hyperlink_2965"/>
    <hyperlink ref="D3365" r:id="rId_hyperlink_2966"/>
    <hyperlink ref="D3366" r:id="rId_hyperlink_2967"/>
    <hyperlink ref="D3367" r:id="rId_hyperlink_2968"/>
    <hyperlink ref="D3368" r:id="rId_hyperlink_2969"/>
    <hyperlink ref="D3369" r:id="rId_hyperlink_2970"/>
    <hyperlink ref="D3370" r:id="rId_hyperlink_2971"/>
    <hyperlink ref="D3371" r:id="rId_hyperlink_2972"/>
    <hyperlink ref="D3372" r:id="rId_hyperlink_2973"/>
    <hyperlink ref="D3373" r:id="rId_hyperlink_2974"/>
    <hyperlink ref="D3374" r:id="rId_hyperlink_2975"/>
    <hyperlink ref="D3375" r:id="rId_hyperlink_2976"/>
    <hyperlink ref="D3376" r:id="rId_hyperlink_2977"/>
    <hyperlink ref="D3377" r:id="rId_hyperlink_2978"/>
    <hyperlink ref="D3378" r:id="rId_hyperlink_2979"/>
    <hyperlink ref="D3380" r:id="rId_hyperlink_2980"/>
    <hyperlink ref="D3381" r:id="rId_hyperlink_2981"/>
    <hyperlink ref="D3382" r:id="rId_hyperlink_2982"/>
    <hyperlink ref="D3383" r:id="rId_hyperlink_2983"/>
    <hyperlink ref="D3384" r:id="rId_hyperlink_2984"/>
    <hyperlink ref="D3385" r:id="rId_hyperlink_2985"/>
    <hyperlink ref="D3386" r:id="rId_hyperlink_2986"/>
    <hyperlink ref="D3387" r:id="rId_hyperlink_2987"/>
    <hyperlink ref="D3388" r:id="rId_hyperlink_2988"/>
    <hyperlink ref="D3389" r:id="rId_hyperlink_2989"/>
    <hyperlink ref="D3390" r:id="rId_hyperlink_2990"/>
    <hyperlink ref="D3392" r:id="rId_hyperlink_2991"/>
    <hyperlink ref="D3393" r:id="rId_hyperlink_2992"/>
    <hyperlink ref="D3394" r:id="rId_hyperlink_2993"/>
    <hyperlink ref="D3395" r:id="rId_hyperlink_2994"/>
    <hyperlink ref="D3396" r:id="rId_hyperlink_2995"/>
    <hyperlink ref="D3397" r:id="rId_hyperlink_2996"/>
    <hyperlink ref="D3398" r:id="rId_hyperlink_2997"/>
    <hyperlink ref="D3399" r:id="rId_hyperlink_2998"/>
    <hyperlink ref="D3400" r:id="rId_hyperlink_2999"/>
    <hyperlink ref="D3401" r:id="rId_hyperlink_3000"/>
    <hyperlink ref="D3402" r:id="rId_hyperlink_3001"/>
    <hyperlink ref="D3403" r:id="rId_hyperlink_3002"/>
    <hyperlink ref="D3405" r:id="rId_hyperlink_3003"/>
    <hyperlink ref="D3406" r:id="rId_hyperlink_3004"/>
    <hyperlink ref="D3407" r:id="rId_hyperlink_3005"/>
    <hyperlink ref="D3408" r:id="rId_hyperlink_3006"/>
    <hyperlink ref="D3409" r:id="rId_hyperlink_3007"/>
    <hyperlink ref="D3410" r:id="rId_hyperlink_3008"/>
    <hyperlink ref="D3411" r:id="rId_hyperlink_3009"/>
    <hyperlink ref="D3412" r:id="rId_hyperlink_3010"/>
    <hyperlink ref="D3413" r:id="rId_hyperlink_3011"/>
    <hyperlink ref="D3414" r:id="rId_hyperlink_3012"/>
    <hyperlink ref="D3415" r:id="rId_hyperlink_3013"/>
    <hyperlink ref="D3416" r:id="rId_hyperlink_3014"/>
    <hyperlink ref="D3417" r:id="rId_hyperlink_3015"/>
    <hyperlink ref="D3418" r:id="rId_hyperlink_3016"/>
    <hyperlink ref="D3419" r:id="rId_hyperlink_3017"/>
    <hyperlink ref="D3420" r:id="rId_hyperlink_3018"/>
    <hyperlink ref="D3421" r:id="rId_hyperlink_3019"/>
    <hyperlink ref="D3422" r:id="rId_hyperlink_3020"/>
    <hyperlink ref="D3423" r:id="rId_hyperlink_3021"/>
    <hyperlink ref="D3424" r:id="rId_hyperlink_3022"/>
    <hyperlink ref="D3425" r:id="rId_hyperlink_3023"/>
    <hyperlink ref="D3426" r:id="rId_hyperlink_3024"/>
    <hyperlink ref="D3427" r:id="rId_hyperlink_3025"/>
    <hyperlink ref="D3428" r:id="rId_hyperlink_3026"/>
    <hyperlink ref="D3429" r:id="rId_hyperlink_3027"/>
    <hyperlink ref="D3430" r:id="rId_hyperlink_3028"/>
    <hyperlink ref="D3431" r:id="rId_hyperlink_3029"/>
    <hyperlink ref="D3432" r:id="rId_hyperlink_3030"/>
    <hyperlink ref="D3433" r:id="rId_hyperlink_3031"/>
    <hyperlink ref="D3434" r:id="rId_hyperlink_3032"/>
    <hyperlink ref="D3435" r:id="rId_hyperlink_3033"/>
    <hyperlink ref="D3436" r:id="rId_hyperlink_3034"/>
    <hyperlink ref="D3437" r:id="rId_hyperlink_3035"/>
    <hyperlink ref="D3438" r:id="rId_hyperlink_3036"/>
    <hyperlink ref="D3439" r:id="rId_hyperlink_3037"/>
    <hyperlink ref="D3440" r:id="rId_hyperlink_3038"/>
    <hyperlink ref="D3441" r:id="rId_hyperlink_3039"/>
    <hyperlink ref="D3442" r:id="rId_hyperlink_3040"/>
    <hyperlink ref="D3443" r:id="rId_hyperlink_3041"/>
    <hyperlink ref="D3444" r:id="rId_hyperlink_3042"/>
    <hyperlink ref="D3445" r:id="rId_hyperlink_3043"/>
    <hyperlink ref="D3446" r:id="rId_hyperlink_3044"/>
    <hyperlink ref="D3447" r:id="rId_hyperlink_3045"/>
    <hyperlink ref="D3448" r:id="rId_hyperlink_3046"/>
    <hyperlink ref="D3449" r:id="rId_hyperlink_3047"/>
    <hyperlink ref="D3450" r:id="rId_hyperlink_3048"/>
    <hyperlink ref="D3451" r:id="rId_hyperlink_3049"/>
    <hyperlink ref="D3452" r:id="rId_hyperlink_3050"/>
    <hyperlink ref="D3456" r:id="rId_hyperlink_3051"/>
    <hyperlink ref="D3457" r:id="rId_hyperlink_3052"/>
    <hyperlink ref="D3458" r:id="rId_hyperlink_3053"/>
    <hyperlink ref="D3459" r:id="rId_hyperlink_3054"/>
    <hyperlink ref="D3460" r:id="rId_hyperlink_3055"/>
    <hyperlink ref="D3461" r:id="rId_hyperlink_3056"/>
    <hyperlink ref="D3462" r:id="rId_hyperlink_3057"/>
    <hyperlink ref="D3463" r:id="rId_hyperlink_3058"/>
    <hyperlink ref="D3464" r:id="rId_hyperlink_3059"/>
    <hyperlink ref="D3465" r:id="rId_hyperlink_3060"/>
    <hyperlink ref="D3466" r:id="rId_hyperlink_3061"/>
    <hyperlink ref="D3467" r:id="rId_hyperlink_3062"/>
    <hyperlink ref="D3468" r:id="rId_hyperlink_3063"/>
    <hyperlink ref="D3469" r:id="rId_hyperlink_3064"/>
    <hyperlink ref="D3470" r:id="rId_hyperlink_3065"/>
    <hyperlink ref="D3471" r:id="rId_hyperlink_3066"/>
    <hyperlink ref="D3472" r:id="rId_hyperlink_3067"/>
    <hyperlink ref="D3473" r:id="rId_hyperlink_3068"/>
    <hyperlink ref="D3474" r:id="rId_hyperlink_3069"/>
    <hyperlink ref="D3475" r:id="rId_hyperlink_3070"/>
    <hyperlink ref="D3476" r:id="rId_hyperlink_3071"/>
    <hyperlink ref="D3477" r:id="rId_hyperlink_3072"/>
    <hyperlink ref="D3478" r:id="rId_hyperlink_3073"/>
    <hyperlink ref="D3479" r:id="rId_hyperlink_3074"/>
    <hyperlink ref="D3481" r:id="rId_hyperlink_3075"/>
    <hyperlink ref="D3482" r:id="rId_hyperlink_3076"/>
    <hyperlink ref="D3483" r:id="rId_hyperlink_3077"/>
    <hyperlink ref="D3484" r:id="rId_hyperlink_3078"/>
    <hyperlink ref="D3485" r:id="rId_hyperlink_3079"/>
    <hyperlink ref="D3486" r:id="rId_hyperlink_3080"/>
    <hyperlink ref="D3487" r:id="rId_hyperlink_3081"/>
    <hyperlink ref="D3488" r:id="rId_hyperlink_3082"/>
    <hyperlink ref="D3489" r:id="rId_hyperlink_3083"/>
    <hyperlink ref="D3491" r:id="rId_hyperlink_3084"/>
    <hyperlink ref="D3492" r:id="rId_hyperlink_3085"/>
    <hyperlink ref="D3493" r:id="rId_hyperlink_3086"/>
    <hyperlink ref="D3495" r:id="rId_hyperlink_3087"/>
    <hyperlink ref="D3496" r:id="rId_hyperlink_3088"/>
    <hyperlink ref="D3497" r:id="rId_hyperlink_3089"/>
    <hyperlink ref="D3498" r:id="rId_hyperlink_3090"/>
    <hyperlink ref="D3499" r:id="rId_hyperlink_3091"/>
    <hyperlink ref="D3500" r:id="rId_hyperlink_3092"/>
    <hyperlink ref="D3501" r:id="rId_hyperlink_3093"/>
    <hyperlink ref="D3502" r:id="rId_hyperlink_3094"/>
    <hyperlink ref="D3504" r:id="rId_hyperlink_3095"/>
    <hyperlink ref="D3505" r:id="rId_hyperlink_3096"/>
    <hyperlink ref="D3507" r:id="rId_hyperlink_3097"/>
    <hyperlink ref="D3509" r:id="rId_hyperlink_3098"/>
    <hyperlink ref="D3510" r:id="rId_hyperlink_3099"/>
    <hyperlink ref="D3511" r:id="rId_hyperlink_3100"/>
    <hyperlink ref="D3515" r:id="rId_hyperlink_3101"/>
    <hyperlink ref="D3516" r:id="rId_hyperlink_3102"/>
    <hyperlink ref="D3518" r:id="rId_hyperlink_3103"/>
    <hyperlink ref="D3520" r:id="rId_hyperlink_3104"/>
    <hyperlink ref="D3522" r:id="rId_hyperlink_3105"/>
    <hyperlink ref="D3523" r:id="rId_hyperlink_3106"/>
    <hyperlink ref="D3524" r:id="rId_hyperlink_3107"/>
    <hyperlink ref="D3525" r:id="rId_hyperlink_3108"/>
    <hyperlink ref="D3527" r:id="rId_hyperlink_3109"/>
    <hyperlink ref="D3528" r:id="rId_hyperlink_3110"/>
    <hyperlink ref="D3529" r:id="rId_hyperlink_3111"/>
    <hyperlink ref="D3532" r:id="rId_hyperlink_3112"/>
    <hyperlink ref="D3533" r:id="rId_hyperlink_3113"/>
    <hyperlink ref="D3534" r:id="rId_hyperlink_3114"/>
    <hyperlink ref="D3535" r:id="rId_hyperlink_3115"/>
    <hyperlink ref="D3536" r:id="rId_hyperlink_3116"/>
    <hyperlink ref="D3537" r:id="rId_hyperlink_3117"/>
    <hyperlink ref="D3538" r:id="rId_hyperlink_3118"/>
    <hyperlink ref="D3539" r:id="rId_hyperlink_3119"/>
    <hyperlink ref="D3540" r:id="rId_hyperlink_3120"/>
    <hyperlink ref="D3541" r:id="rId_hyperlink_3121"/>
    <hyperlink ref="D3542" r:id="rId_hyperlink_3122"/>
    <hyperlink ref="D3543" r:id="rId_hyperlink_3123"/>
    <hyperlink ref="D3544" r:id="rId_hyperlink_3124"/>
    <hyperlink ref="D3546" r:id="rId_hyperlink_3125"/>
    <hyperlink ref="D3547" r:id="rId_hyperlink_3126"/>
    <hyperlink ref="D3549" r:id="rId_hyperlink_3127"/>
    <hyperlink ref="D3550" r:id="rId_hyperlink_3128"/>
    <hyperlink ref="D3551" r:id="rId_hyperlink_3129"/>
    <hyperlink ref="D3553" r:id="rId_hyperlink_3130"/>
    <hyperlink ref="D3554" r:id="rId_hyperlink_3131"/>
    <hyperlink ref="D3555" r:id="rId_hyperlink_3132"/>
    <hyperlink ref="D3556" r:id="rId_hyperlink_3133"/>
    <hyperlink ref="D3557" r:id="rId_hyperlink_3134"/>
    <hyperlink ref="D3558" r:id="rId_hyperlink_3135"/>
    <hyperlink ref="D3559" r:id="rId_hyperlink_3136"/>
    <hyperlink ref="D3560" r:id="rId_hyperlink_3137"/>
    <hyperlink ref="D3562" r:id="rId_hyperlink_3138"/>
    <hyperlink ref="D3563" r:id="rId_hyperlink_3139"/>
    <hyperlink ref="D3565" r:id="rId_hyperlink_3140"/>
    <hyperlink ref="D3566" r:id="rId_hyperlink_3141"/>
    <hyperlink ref="D3567" r:id="rId_hyperlink_3142"/>
    <hyperlink ref="D3568" r:id="rId_hyperlink_3143"/>
    <hyperlink ref="D3569" r:id="rId_hyperlink_3144"/>
    <hyperlink ref="D3570" r:id="rId_hyperlink_3145"/>
    <hyperlink ref="D3571" r:id="rId_hyperlink_3146"/>
    <hyperlink ref="D3573" r:id="rId_hyperlink_3147"/>
    <hyperlink ref="D3574" r:id="rId_hyperlink_3148"/>
    <hyperlink ref="D3575" r:id="rId_hyperlink_3149"/>
    <hyperlink ref="D3576" r:id="rId_hyperlink_3150"/>
    <hyperlink ref="D3578" r:id="rId_hyperlink_3151"/>
    <hyperlink ref="D3579" r:id="rId_hyperlink_3152"/>
    <hyperlink ref="D3580" r:id="rId_hyperlink_3153"/>
    <hyperlink ref="D3581" r:id="rId_hyperlink_3154"/>
    <hyperlink ref="D3582" r:id="rId_hyperlink_3155"/>
    <hyperlink ref="D3583" r:id="rId_hyperlink_3156"/>
    <hyperlink ref="D3584" r:id="rId_hyperlink_3157"/>
    <hyperlink ref="D3585" r:id="rId_hyperlink_3158"/>
    <hyperlink ref="D3586" r:id="rId_hyperlink_3159"/>
    <hyperlink ref="D3587" r:id="rId_hyperlink_3160"/>
    <hyperlink ref="D3588" r:id="rId_hyperlink_3161"/>
    <hyperlink ref="D3589" r:id="rId_hyperlink_3162"/>
    <hyperlink ref="D3590" r:id="rId_hyperlink_3163"/>
    <hyperlink ref="D3593" r:id="rId_hyperlink_3164"/>
    <hyperlink ref="D3594" r:id="rId_hyperlink_3165"/>
    <hyperlink ref="D3595" r:id="rId_hyperlink_3166"/>
    <hyperlink ref="D3597" r:id="rId_hyperlink_3167"/>
    <hyperlink ref="D3598" r:id="rId_hyperlink_3168"/>
    <hyperlink ref="D3599" r:id="rId_hyperlink_3169"/>
    <hyperlink ref="D3600" r:id="rId_hyperlink_3170"/>
    <hyperlink ref="D3601" r:id="rId_hyperlink_3171"/>
    <hyperlink ref="D3602" r:id="rId_hyperlink_3172"/>
    <hyperlink ref="D3603" r:id="rId_hyperlink_3173"/>
    <hyperlink ref="D3604" r:id="rId_hyperlink_3174"/>
    <hyperlink ref="D3605" r:id="rId_hyperlink_3175"/>
    <hyperlink ref="D3606" r:id="rId_hyperlink_3176"/>
    <hyperlink ref="D3607" r:id="rId_hyperlink_3177"/>
    <hyperlink ref="D3608" r:id="rId_hyperlink_3178"/>
    <hyperlink ref="D3609" r:id="rId_hyperlink_3179"/>
    <hyperlink ref="D3611" r:id="rId_hyperlink_3180"/>
    <hyperlink ref="D3612" r:id="rId_hyperlink_3181"/>
    <hyperlink ref="D3613" r:id="rId_hyperlink_3182"/>
    <hyperlink ref="D3614" r:id="rId_hyperlink_3183"/>
    <hyperlink ref="D3615" r:id="rId_hyperlink_3184"/>
    <hyperlink ref="D3617" r:id="rId_hyperlink_3185"/>
    <hyperlink ref="D3618" r:id="rId_hyperlink_3186"/>
    <hyperlink ref="D3619" r:id="rId_hyperlink_3187"/>
    <hyperlink ref="D3620" r:id="rId_hyperlink_3188"/>
    <hyperlink ref="D3621" r:id="rId_hyperlink_3189"/>
    <hyperlink ref="D3623" r:id="rId_hyperlink_3190"/>
    <hyperlink ref="D3624" r:id="rId_hyperlink_3191"/>
    <hyperlink ref="D3625" r:id="rId_hyperlink_3192"/>
    <hyperlink ref="D3626" r:id="rId_hyperlink_3193"/>
    <hyperlink ref="D3627" r:id="rId_hyperlink_3194"/>
    <hyperlink ref="D3628" r:id="rId_hyperlink_3195"/>
    <hyperlink ref="D3629" r:id="rId_hyperlink_3196"/>
    <hyperlink ref="D3630" r:id="rId_hyperlink_3197"/>
    <hyperlink ref="D3631" r:id="rId_hyperlink_3198"/>
    <hyperlink ref="D3632" r:id="rId_hyperlink_3199"/>
    <hyperlink ref="D3633" r:id="rId_hyperlink_3200"/>
    <hyperlink ref="D3634" r:id="rId_hyperlink_3201"/>
    <hyperlink ref="D3635" r:id="rId_hyperlink_3202"/>
    <hyperlink ref="D3636" r:id="rId_hyperlink_3203"/>
    <hyperlink ref="D3637" r:id="rId_hyperlink_3204"/>
    <hyperlink ref="D3638" r:id="rId_hyperlink_3205"/>
    <hyperlink ref="D3639" r:id="rId_hyperlink_3206"/>
    <hyperlink ref="D3642" r:id="rId_hyperlink_3207"/>
    <hyperlink ref="D3643" r:id="rId_hyperlink_3208"/>
    <hyperlink ref="D3644" r:id="rId_hyperlink_3209"/>
    <hyperlink ref="D3645" r:id="rId_hyperlink_3210"/>
    <hyperlink ref="D3646" r:id="rId_hyperlink_3211"/>
    <hyperlink ref="D3647" r:id="rId_hyperlink_3212"/>
    <hyperlink ref="D3648" r:id="rId_hyperlink_3213"/>
    <hyperlink ref="D3650" r:id="rId_hyperlink_3214"/>
    <hyperlink ref="D3651" r:id="rId_hyperlink_3215"/>
    <hyperlink ref="D3652" r:id="rId_hyperlink_3216"/>
    <hyperlink ref="D3653" r:id="rId_hyperlink_3217"/>
    <hyperlink ref="D3654" r:id="rId_hyperlink_3218"/>
    <hyperlink ref="D3655" r:id="rId_hyperlink_3219"/>
    <hyperlink ref="D3656" r:id="rId_hyperlink_3220"/>
    <hyperlink ref="D3657" r:id="rId_hyperlink_3221"/>
    <hyperlink ref="D3659" r:id="rId_hyperlink_3222"/>
    <hyperlink ref="D3660" r:id="rId_hyperlink_3223"/>
    <hyperlink ref="D3661" r:id="rId_hyperlink_3224"/>
    <hyperlink ref="D3662" r:id="rId_hyperlink_3225"/>
    <hyperlink ref="D3663" r:id="rId_hyperlink_3226"/>
    <hyperlink ref="D3664" r:id="rId_hyperlink_3227"/>
    <hyperlink ref="D3665" r:id="rId_hyperlink_3228"/>
    <hyperlink ref="D3666" r:id="rId_hyperlink_3229"/>
    <hyperlink ref="D3668" r:id="rId_hyperlink_3230"/>
    <hyperlink ref="D3669" r:id="rId_hyperlink_3231"/>
    <hyperlink ref="D3670" r:id="rId_hyperlink_3232"/>
    <hyperlink ref="D3671" r:id="rId_hyperlink_3233"/>
    <hyperlink ref="D3672" r:id="rId_hyperlink_3234"/>
    <hyperlink ref="D3673" r:id="rId_hyperlink_3235"/>
    <hyperlink ref="D3674" r:id="rId_hyperlink_3236"/>
    <hyperlink ref="D3675" r:id="rId_hyperlink_3237"/>
    <hyperlink ref="D3677" r:id="rId_hyperlink_3238"/>
    <hyperlink ref="D3678" r:id="rId_hyperlink_3239"/>
    <hyperlink ref="D3679" r:id="rId_hyperlink_3240"/>
    <hyperlink ref="D3680" r:id="rId_hyperlink_3241"/>
    <hyperlink ref="D3681" r:id="rId_hyperlink_3242"/>
    <hyperlink ref="D3682" r:id="rId_hyperlink_3243"/>
    <hyperlink ref="D3683" r:id="rId_hyperlink_3244"/>
    <hyperlink ref="D3684" r:id="rId_hyperlink_3245"/>
    <hyperlink ref="D3685" r:id="rId_hyperlink_3246"/>
    <hyperlink ref="D3686" r:id="rId_hyperlink_3247"/>
    <hyperlink ref="D3687" r:id="rId_hyperlink_3248"/>
    <hyperlink ref="D3688" r:id="rId_hyperlink_3249"/>
    <hyperlink ref="D3689" r:id="rId_hyperlink_3250"/>
    <hyperlink ref="D3690" r:id="rId_hyperlink_3251"/>
    <hyperlink ref="D3691" r:id="rId_hyperlink_3252"/>
    <hyperlink ref="D3693" r:id="rId_hyperlink_3253"/>
    <hyperlink ref="D3694" r:id="rId_hyperlink_3254"/>
    <hyperlink ref="D3695" r:id="rId_hyperlink_3255"/>
    <hyperlink ref="D3696" r:id="rId_hyperlink_3256"/>
    <hyperlink ref="D3697" r:id="rId_hyperlink_3257"/>
    <hyperlink ref="D3698" r:id="rId_hyperlink_3258"/>
    <hyperlink ref="D3699" r:id="rId_hyperlink_3259"/>
    <hyperlink ref="D3700" r:id="rId_hyperlink_3260"/>
    <hyperlink ref="D3701" r:id="rId_hyperlink_3261"/>
    <hyperlink ref="D3702" r:id="rId_hyperlink_3262"/>
    <hyperlink ref="D3703" r:id="rId_hyperlink_3263"/>
    <hyperlink ref="D3704" r:id="rId_hyperlink_3264"/>
    <hyperlink ref="D3705" r:id="rId_hyperlink_3265"/>
    <hyperlink ref="D3706" r:id="rId_hyperlink_3266"/>
    <hyperlink ref="D3707" r:id="rId_hyperlink_3267"/>
    <hyperlink ref="D3708" r:id="rId_hyperlink_3268"/>
    <hyperlink ref="D3709" r:id="rId_hyperlink_3269"/>
    <hyperlink ref="D3711" r:id="rId_hyperlink_3270"/>
    <hyperlink ref="D3712" r:id="rId_hyperlink_3271"/>
    <hyperlink ref="D3714" r:id="rId_hyperlink_3272"/>
    <hyperlink ref="D3715" r:id="rId_hyperlink_3273"/>
    <hyperlink ref="D3716" r:id="rId_hyperlink_3274"/>
    <hyperlink ref="D3717" r:id="rId_hyperlink_3275"/>
    <hyperlink ref="D3718" r:id="rId_hyperlink_3276"/>
    <hyperlink ref="D3719" r:id="rId_hyperlink_3277"/>
    <hyperlink ref="D3720" r:id="rId_hyperlink_3278"/>
    <hyperlink ref="D3722" r:id="rId_hyperlink_3279"/>
    <hyperlink ref="D3724" r:id="rId_hyperlink_3280"/>
    <hyperlink ref="D3725" r:id="rId_hyperlink_3281"/>
    <hyperlink ref="D3726" r:id="rId_hyperlink_3282"/>
    <hyperlink ref="D3728" r:id="rId_hyperlink_3283"/>
    <hyperlink ref="D3730" r:id="rId_hyperlink_3284"/>
    <hyperlink ref="D3731" r:id="rId_hyperlink_3285"/>
    <hyperlink ref="D3732" r:id="rId_hyperlink_3286"/>
    <hyperlink ref="D3733" r:id="rId_hyperlink_3287"/>
    <hyperlink ref="D3734" r:id="rId_hyperlink_3288"/>
    <hyperlink ref="D3735" r:id="rId_hyperlink_3289"/>
    <hyperlink ref="D3736" r:id="rId_hyperlink_3290"/>
    <hyperlink ref="D3737" r:id="rId_hyperlink_3291"/>
    <hyperlink ref="D3738" r:id="rId_hyperlink_3292"/>
    <hyperlink ref="D3739" r:id="rId_hyperlink_3293"/>
    <hyperlink ref="D3740" r:id="rId_hyperlink_3294"/>
    <hyperlink ref="D3741" r:id="rId_hyperlink_3295"/>
    <hyperlink ref="D3742" r:id="rId_hyperlink_3296"/>
    <hyperlink ref="D3743" r:id="rId_hyperlink_3297"/>
    <hyperlink ref="D3744" r:id="rId_hyperlink_3298"/>
    <hyperlink ref="D3746" r:id="rId_hyperlink_3299"/>
    <hyperlink ref="D3747" r:id="rId_hyperlink_3300"/>
    <hyperlink ref="D3748" r:id="rId_hyperlink_3301"/>
    <hyperlink ref="D3749" r:id="rId_hyperlink_3302"/>
    <hyperlink ref="D3750" r:id="rId_hyperlink_3303"/>
    <hyperlink ref="D3753" r:id="rId_hyperlink_3304"/>
    <hyperlink ref="D3754" r:id="rId_hyperlink_3305"/>
    <hyperlink ref="D3755" r:id="rId_hyperlink_3306"/>
    <hyperlink ref="D3756" r:id="rId_hyperlink_3307"/>
    <hyperlink ref="D3757" r:id="rId_hyperlink_3308"/>
    <hyperlink ref="D3758" r:id="rId_hyperlink_3309"/>
    <hyperlink ref="D3759" r:id="rId_hyperlink_3310"/>
    <hyperlink ref="D3760" r:id="rId_hyperlink_3311"/>
    <hyperlink ref="D3762" r:id="rId_hyperlink_3312"/>
    <hyperlink ref="D3763" r:id="rId_hyperlink_3313"/>
    <hyperlink ref="D3764" r:id="rId_hyperlink_3314"/>
    <hyperlink ref="D3765" r:id="rId_hyperlink_3315"/>
    <hyperlink ref="D3766" r:id="rId_hyperlink_3316"/>
    <hyperlink ref="D3767" r:id="rId_hyperlink_3317"/>
    <hyperlink ref="D3768" r:id="rId_hyperlink_3318"/>
    <hyperlink ref="D3769" r:id="rId_hyperlink_3319"/>
    <hyperlink ref="D3770" r:id="rId_hyperlink_3320"/>
    <hyperlink ref="D3772" r:id="rId_hyperlink_3321"/>
    <hyperlink ref="D3773" r:id="rId_hyperlink_3322"/>
    <hyperlink ref="D3775" r:id="rId_hyperlink_3323"/>
    <hyperlink ref="D3776" r:id="rId_hyperlink_3324"/>
    <hyperlink ref="D3777" r:id="rId_hyperlink_3325"/>
    <hyperlink ref="D3779" r:id="rId_hyperlink_3326"/>
    <hyperlink ref="D3780" r:id="rId_hyperlink_3327"/>
    <hyperlink ref="D3781" r:id="rId_hyperlink_3328"/>
    <hyperlink ref="D3782" r:id="rId_hyperlink_3329"/>
    <hyperlink ref="D3783" r:id="rId_hyperlink_3330"/>
    <hyperlink ref="D3784" r:id="rId_hyperlink_3331"/>
    <hyperlink ref="D3786" r:id="rId_hyperlink_3332"/>
    <hyperlink ref="D3787" r:id="rId_hyperlink_3333"/>
    <hyperlink ref="D3790" r:id="rId_hyperlink_3334"/>
    <hyperlink ref="D3791" r:id="rId_hyperlink_3335"/>
    <hyperlink ref="D3793" r:id="rId_hyperlink_3336"/>
    <hyperlink ref="D3794" r:id="rId_hyperlink_3337"/>
    <hyperlink ref="D3795" r:id="rId_hyperlink_3338"/>
    <hyperlink ref="D3796" r:id="rId_hyperlink_3339"/>
    <hyperlink ref="D3797" r:id="rId_hyperlink_3340"/>
    <hyperlink ref="D3798" r:id="rId_hyperlink_3341"/>
    <hyperlink ref="D3799" r:id="rId_hyperlink_3342"/>
    <hyperlink ref="D3801" r:id="rId_hyperlink_3343"/>
    <hyperlink ref="D3802" r:id="rId_hyperlink_3344"/>
    <hyperlink ref="D3803" r:id="rId_hyperlink_3345"/>
    <hyperlink ref="D3804" r:id="rId_hyperlink_3346"/>
    <hyperlink ref="D3805" r:id="rId_hyperlink_3347"/>
    <hyperlink ref="D3806" r:id="rId_hyperlink_3348"/>
    <hyperlink ref="D3810" r:id="rId_hyperlink_3349"/>
    <hyperlink ref="D3811" r:id="rId_hyperlink_3350"/>
    <hyperlink ref="D3812" r:id="rId_hyperlink_3351"/>
    <hyperlink ref="D3813" r:id="rId_hyperlink_3352"/>
    <hyperlink ref="D3814" r:id="rId_hyperlink_3353"/>
    <hyperlink ref="D3815" r:id="rId_hyperlink_3354"/>
    <hyperlink ref="D3816" r:id="rId_hyperlink_3355"/>
    <hyperlink ref="D3817" r:id="rId_hyperlink_3356"/>
    <hyperlink ref="D3818" r:id="rId_hyperlink_3357"/>
    <hyperlink ref="D3819" r:id="rId_hyperlink_3358"/>
    <hyperlink ref="D3820" r:id="rId_hyperlink_3359"/>
    <hyperlink ref="D3821" r:id="rId_hyperlink_3360"/>
    <hyperlink ref="D3822" r:id="rId_hyperlink_3361"/>
    <hyperlink ref="D3823" r:id="rId_hyperlink_3362"/>
    <hyperlink ref="D3824" r:id="rId_hyperlink_3363"/>
    <hyperlink ref="D3825" r:id="rId_hyperlink_3364"/>
    <hyperlink ref="D3826" r:id="rId_hyperlink_3365"/>
    <hyperlink ref="D3827" r:id="rId_hyperlink_3366"/>
    <hyperlink ref="D3829" r:id="rId_hyperlink_3367"/>
    <hyperlink ref="D3830" r:id="rId_hyperlink_3368"/>
    <hyperlink ref="D3831" r:id="rId_hyperlink_3369"/>
    <hyperlink ref="D3832" r:id="rId_hyperlink_3370"/>
    <hyperlink ref="D3833" r:id="rId_hyperlink_3371"/>
    <hyperlink ref="D3834" r:id="rId_hyperlink_3372"/>
    <hyperlink ref="D3835" r:id="rId_hyperlink_3373"/>
    <hyperlink ref="D3836" r:id="rId_hyperlink_3374"/>
    <hyperlink ref="D3837" r:id="rId_hyperlink_3375"/>
    <hyperlink ref="D3838" r:id="rId_hyperlink_3376"/>
    <hyperlink ref="D3839" r:id="rId_hyperlink_3377"/>
    <hyperlink ref="D3840" r:id="rId_hyperlink_3378"/>
    <hyperlink ref="D3841" r:id="rId_hyperlink_3379"/>
    <hyperlink ref="D3842" r:id="rId_hyperlink_3380"/>
    <hyperlink ref="D3843" r:id="rId_hyperlink_3381"/>
    <hyperlink ref="D3844" r:id="rId_hyperlink_3382"/>
    <hyperlink ref="D3845" r:id="rId_hyperlink_3383"/>
    <hyperlink ref="D3846" r:id="rId_hyperlink_3384"/>
    <hyperlink ref="D3847" r:id="rId_hyperlink_3385"/>
    <hyperlink ref="D3848" r:id="rId_hyperlink_3386"/>
    <hyperlink ref="D3849" r:id="rId_hyperlink_3387"/>
    <hyperlink ref="D3850" r:id="rId_hyperlink_3388"/>
    <hyperlink ref="D3851" r:id="rId_hyperlink_3389"/>
    <hyperlink ref="D3852" r:id="rId_hyperlink_3390"/>
    <hyperlink ref="D3853" r:id="rId_hyperlink_3391"/>
    <hyperlink ref="D3854" r:id="rId_hyperlink_3392"/>
    <hyperlink ref="D3855" r:id="rId_hyperlink_3393"/>
    <hyperlink ref="D3857" r:id="rId_hyperlink_3394"/>
    <hyperlink ref="D3858" r:id="rId_hyperlink_3395"/>
    <hyperlink ref="D3859" r:id="rId_hyperlink_3396"/>
    <hyperlink ref="D3861" r:id="rId_hyperlink_3397"/>
    <hyperlink ref="D3862" r:id="rId_hyperlink_3398"/>
    <hyperlink ref="D3863" r:id="rId_hyperlink_3399"/>
    <hyperlink ref="D3864" r:id="rId_hyperlink_3400"/>
    <hyperlink ref="D3865" r:id="rId_hyperlink_3401"/>
    <hyperlink ref="D3866" r:id="rId_hyperlink_3402"/>
    <hyperlink ref="D3867" r:id="rId_hyperlink_3403"/>
    <hyperlink ref="D3868" r:id="rId_hyperlink_3404"/>
    <hyperlink ref="D3869" r:id="rId_hyperlink_3405"/>
    <hyperlink ref="D3871" r:id="rId_hyperlink_3406"/>
    <hyperlink ref="D3872" r:id="rId_hyperlink_3407"/>
    <hyperlink ref="D3873" r:id="rId_hyperlink_3408"/>
    <hyperlink ref="D3874" r:id="rId_hyperlink_3409"/>
    <hyperlink ref="D3875" r:id="rId_hyperlink_3410"/>
    <hyperlink ref="D3876" r:id="rId_hyperlink_3411"/>
    <hyperlink ref="D3877" r:id="rId_hyperlink_3412"/>
    <hyperlink ref="D3879" r:id="rId_hyperlink_3413"/>
    <hyperlink ref="D3880" r:id="rId_hyperlink_3414"/>
    <hyperlink ref="D3881" r:id="rId_hyperlink_3415"/>
    <hyperlink ref="D3882" r:id="rId_hyperlink_3416"/>
    <hyperlink ref="D3883" r:id="rId_hyperlink_3417"/>
    <hyperlink ref="D3884" r:id="rId_hyperlink_3418"/>
    <hyperlink ref="D3885" r:id="rId_hyperlink_3419"/>
    <hyperlink ref="D3886" r:id="rId_hyperlink_3420"/>
    <hyperlink ref="D3887" r:id="rId_hyperlink_3421"/>
    <hyperlink ref="D3888" r:id="rId_hyperlink_3422"/>
    <hyperlink ref="D3889" r:id="rId_hyperlink_3423"/>
    <hyperlink ref="D3890" r:id="rId_hyperlink_3424"/>
    <hyperlink ref="D3891" r:id="rId_hyperlink_3425"/>
    <hyperlink ref="D3892" r:id="rId_hyperlink_3426"/>
    <hyperlink ref="D3893" r:id="rId_hyperlink_3427"/>
    <hyperlink ref="D3894" r:id="rId_hyperlink_3428"/>
    <hyperlink ref="D3895" r:id="rId_hyperlink_3429"/>
    <hyperlink ref="D3896" r:id="rId_hyperlink_3430"/>
    <hyperlink ref="D3897" r:id="rId_hyperlink_3431"/>
    <hyperlink ref="D3898" r:id="rId_hyperlink_3432"/>
    <hyperlink ref="D3899" r:id="rId_hyperlink_3433"/>
    <hyperlink ref="D3900" r:id="rId_hyperlink_3434"/>
    <hyperlink ref="D3901" r:id="rId_hyperlink_3435"/>
    <hyperlink ref="D3902" r:id="rId_hyperlink_3436"/>
    <hyperlink ref="D3903" r:id="rId_hyperlink_3437"/>
    <hyperlink ref="D3904" r:id="rId_hyperlink_3438"/>
    <hyperlink ref="D3905" r:id="rId_hyperlink_3439"/>
    <hyperlink ref="D3906" r:id="rId_hyperlink_3440"/>
    <hyperlink ref="D3907" r:id="rId_hyperlink_3441"/>
    <hyperlink ref="D3908" r:id="rId_hyperlink_3442"/>
    <hyperlink ref="D3909" r:id="rId_hyperlink_3443"/>
    <hyperlink ref="D3911" r:id="rId_hyperlink_3444"/>
    <hyperlink ref="D3912" r:id="rId_hyperlink_3445"/>
    <hyperlink ref="D3913" r:id="rId_hyperlink_3446"/>
    <hyperlink ref="D3914" r:id="rId_hyperlink_3447"/>
    <hyperlink ref="D3915" r:id="rId_hyperlink_3448"/>
    <hyperlink ref="D3916" r:id="rId_hyperlink_3449"/>
    <hyperlink ref="D3917" r:id="rId_hyperlink_3450"/>
    <hyperlink ref="D3918" r:id="rId_hyperlink_3451"/>
    <hyperlink ref="D3919" r:id="rId_hyperlink_3452"/>
    <hyperlink ref="D3920" r:id="rId_hyperlink_3453"/>
    <hyperlink ref="D3921" r:id="rId_hyperlink_3454"/>
    <hyperlink ref="D3922" r:id="rId_hyperlink_3455"/>
    <hyperlink ref="D3923" r:id="rId_hyperlink_3456"/>
    <hyperlink ref="D3924" r:id="rId_hyperlink_3457"/>
    <hyperlink ref="D3925" r:id="rId_hyperlink_3458"/>
    <hyperlink ref="D3926" r:id="rId_hyperlink_3459"/>
    <hyperlink ref="D3927" r:id="rId_hyperlink_3460"/>
    <hyperlink ref="D3928" r:id="rId_hyperlink_3461"/>
    <hyperlink ref="D3929" r:id="rId_hyperlink_3462"/>
    <hyperlink ref="D3930" r:id="rId_hyperlink_3463"/>
    <hyperlink ref="D3931" r:id="rId_hyperlink_3464"/>
    <hyperlink ref="D3932" r:id="rId_hyperlink_3465"/>
    <hyperlink ref="D3933" r:id="rId_hyperlink_3466"/>
    <hyperlink ref="D3934" r:id="rId_hyperlink_3467"/>
    <hyperlink ref="D3935" r:id="rId_hyperlink_3468"/>
    <hyperlink ref="D3936" r:id="rId_hyperlink_3469"/>
    <hyperlink ref="D3937" r:id="rId_hyperlink_3470"/>
    <hyperlink ref="D3938" r:id="rId_hyperlink_3471"/>
    <hyperlink ref="D3939" r:id="rId_hyperlink_3472"/>
    <hyperlink ref="D3940" r:id="rId_hyperlink_3473"/>
    <hyperlink ref="D3941" r:id="rId_hyperlink_3474"/>
    <hyperlink ref="D3942" r:id="rId_hyperlink_3475"/>
    <hyperlink ref="D3945" r:id="rId_hyperlink_3476"/>
    <hyperlink ref="D3946" r:id="rId_hyperlink_3477"/>
    <hyperlink ref="D3947" r:id="rId_hyperlink_3478"/>
    <hyperlink ref="D3948" r:id="rId_hyperlink_3479"/>
    <hyperlink ref="D3949" r:id="rId_hyperlink_3480"/>
    <hyperlink ref="D3950" r:id="rId_hyperlink_3481"/>
    <hyperlink ref="D3952" r:id="rId_hyperlink_3482"/>
    <hyperlink ref="D3954" r:id="rId_hyperlink_3483"/>
    <hyperlink ref="D3955" r:id="rId_hyperlink_3484"/>
    <hyperlink ref="D3956" r:id="rId_hyperlink_3485"/>
    <hyperlink ref="D3957" r:id="rId_hyperlink_3486"/>
    <hyperlink ref="D3958" r:id="rId_hyperlink_3487"/>
    <hyperlink ref="D3959" r:id="rId_hyperlink_3488"/>
    <hyperlink ref="D3962" r:id="rId_hyperlink_3489"/>
    <hyperlink ref="D3963" r:id="rId_hyperlink_3490"/>
    <hyperlink ref="D3964" r:id="rId_hyperlink_3491"/>
    <hyperlink ref="D3965" r:id="rId_hyperlink_3492"/>
    <hyperlink ref="D3966" r:id="rId_hyperlink_3493"/>
    <hyperlink ref="D3967" r:id="rId_hyperlink_3494"/>
    <hyperlink ref="D3968" r:id="rId_hyperlink_3495"/>
    <hyperlink ref="D3969" r:id="rId_hyperlink_3496"/>
    <hyperlink ref="D3970" r:id="rId_hyperlink_3497"/>
    <hyperlink ref="D3971" r:id="rId_hyperlink_3498"/>
    <hyperlink ref="D3972" r:id="rId_hyperlink_3499"/>
    <hyperlink ref="D3973" r:id="rId_hyperlink_3500"/>
    <hyperlink ref="D3974" r:id="rId_hyperlink_3501"/>
    <hyperlink ref="D3975" r:id="rId_hyperlink_3502"/>
    <hyperlink ref="D3976" r:id="rId_hyperlink_3503"/>
    <hyperlink ref="D3977" r:id="rId_hyperlink_3504"/>
    <hyperlink ref="D3978" r:id="rId_hyperlink_3505"/>
    <hyperlink ref="D3979" r:id="rId_hyperlink_3506"/>
    <hyperlink ref="D3980" r:id="rId_hyperlink_3507"/>
    <hyperlink ref="D3981" r:id="rId_hyperlink_3508"/>
    <hyperlink ref="D3982" r:id="rId_hyperlink_3509"/>
    <hyperlink ref="D3983" r:id="rId_hyperlink_3510"/>
    <hyperlink ref="D3984" r:id="rId_hyperlink_3511"/>
    <hyperlink ref="D3985" r:id="rId_hyperlink_3512"/>
    <hyperlink ref="D3986" r:id="rId_hyperlink_3513"/>
    <hyperlink ref="D3987" r:id="rId_hyperlink_3514"/>
    <hyperlink ref="D3988" r:id="rId_hyperlink_3515"/>
    <hyperlink ref="D3989" r:id="rId_hyperlink_3516"/>
    <hyperlink ref="D3990" r:id="rId_hyperlink_3517"/>
    <hyperlink ref="D3991" r:id="rId_hyperlink_3518"/>
    <hyperlink ref="D3992" r:id="rId_hyperlink_3519"/>
    <hyperlink ref="D3993" r:id="rId_hyperlink_3520"/>
    <hyperlink ref="D3994" r:id="rId_hyperlink_3521"/>
    <hyperlink ref="D3995" r:id="rId_hyperlink_3522"/>
    <hyperlink ref="D3996" r:id="rId_hyperlink_3523"/>
    <hyperlink ref="D3997" r:id="rId_hyperlink_3524"/>
    <hyperlink ref="D3998" r:id="rId_hyperlink_3525"/>
    <hyperlink ref="D3999" r:id="rId_hyperlink_3526"/>
    <hyperlink ref="D4000" r:id="rId_hyperlink_3527"/>
    <hyperlink ref="D4001" r:id="rId_hyperlink_3528"/>
    <hyperlink ref="D4002" r:id="rId_hyperlink_3529"/>
    <hyperlink ref="D4003" r:id="rId_hyperlink_3530"/>
    <hyperlink ref="D4004" r:id="rId_hyperlink_3531"/>
    <hyperlink ref="D4005" r:id="rId_hyperlink_3532"/>
    <hyperlink ref="D4006" r:id="rId_hyperlink_3533"/>
    <hyperlink ref="D4007" r:id="rId_hyperlink_3534"/>
    <hyperlink ref="D4008" r:id="rId_hyperlink_3535"/>
    <hyperlink ref="D4009" r:id="rId_hyperlink_3536"/>
    <hyperlink ref="D4010" r:id="rId_hyperlink_3537"/>
    <hyperlink ref="D4012" r:id="rId_hyperlink_3538"/>
    <hyperlink ref="D4013" r:id="rId_hyperlink_3539"/>
    <hyperlink ref="D4014" r:id="rId_hyperlink_3540"/>
    <hyperlink ref="D4015" r:id="rId_hyperlink_3541"/>
    <hyperlink ref="D4016" r:id="rId_hyperlink_3542"/>
    <hyperlink ref="D4017" r:id="rId_hyperlink_3543"/>
    <hyperlink ref="D4018" r:id="rId_hyperlink_3544"/>
    <hyperlink ref="D4019" r:id="rId_hyperlink_3545"/>
    <hyperlink ref="D4020" r:id="rId_hyperlink_3546"/>
    <hyperlink ref="D4021" r:id="rId_hyperlink_3547"/>
    <hyperlink ref="D4022" r:id="rId_hyperlink_3548"/>
    <hyperlink ref="D4023" r:id="rId_hyperlink_3549"/>
    <hyperlink ref="D4024" r:id="rId_hyperlink_3550"/>
    <hyperlink ref="D4025" r:id="rId_hyperlink_3551"/>
    <hyperlink ref="D4026" r:id="rId_hyperlink_3552"/>
    <hyperlink ref="D4027" r:id="rId_hyperlink_3553"/>
    <hyperlink ref="D4028" r:id="rId_hyperlink_3554"/>
    <hyperlink ref="D4029" r:id="rId_hyperlink_3555"/>
    <hyperlink ref="D4030" r:id="rId_hyperlink_3556"/>
    <hyperlink ref="D4031" r:id="rId_hyperlink_3557"/>
    <hyperlink ref="D4032" r:id="rId_hyperlink_3558"/>
    <hyperlink ref="D4033" r:id="rId_hyperlink_3559"/>
    <hyperlink ref="D4034" r:id="rId_hyperlink_3560"/>
    <hyperlink ref="D4035" r:id="rId_hyperlink_3561"/>
    <hyperlink ref="D4036" r:id="rId_hyperlink_3562"/>
    <hyperlink ref="D4037" r:id="rId_hyperlink_3563"/>
    <hyperlink ref="D4038" r:id="rId_hyperlink_3564"/>
    <hyperlink ref="D4039" r:id="rId_hyperlink_3565"/>
    <hyperlink ref="D4040" r:id="rId_hyperlink_3566"/>
    <hyperlink ref="D4041" r:id="rId_hyperlink_3567"/>
    <hyperlink ref="D4042" r:id="rId_hyperlink_3568"/>
    <hyperlink ref="D4043" r:id="rId_hyperlink_3569"/>
    <hyperlink ref="D4044" r:id="rId_hyperlink_3570"/>
    <hyperlink ref="D4045" r:id="rId_hyperlink_3571"/>
    <hyperlink ref="D4046" r:id="rId_hyperlink_3572"/>
    <hyperlink ref="D4047" r:id="rId_hyperlink_3573"/>
    <hyperlink ref="D4048" r:id="rId_hyperlink_3574"/>
    <hyperlink ref="D4049" r:id="rId_hyperlink_3575"/>
    <hyperlink ref="D4050" r:id="rId_hyperlink_3576"/>
    <hyperlink ref="D4051" r:id="rId_hyperlink_3577"/>
    <hyperlink ref="D4053" r:id="rId_hyperlink_3578"/>
    <hyperlink ref="D4054" r:id="rId_hyperlink_3579"/>
    <hyperlink ref="D4055" r:id="rId_hyperlink_3580"/>
    <hyperlink ref="D4056" r:id="rId_hyperlink_3581"/>
    <hyperlink ref="D4057" r:id="rId_hyperlink_3582"/>
    <hyperlink ref="D4058" r:id="rId_hyperlink_3583"/>
    <hyperlink ref="D4059" r:id="rId_hyperlink_3584"/>
    <hyperlink ref="D4060" r:id="rId_hyperlink_3585"/>
    <hyperlink ref="D4061" r:id="rId_hyperlink_3586"/>
    <hyperlink ref="D4062" r:id="rId_hyperlink_3587"/>
    <hyperlink ref="D4063" r:id="rId_hyperlink_3588"/>
    <hyperlink ref="D4064" r:id="rId_hyperlink_3589"/>
    <hyperlink ref="D4065" r:id="rId_hyperlink_3590"/>
    <hyperlink ref="D4066" r:id="rId_hyperlink_3591"/>
    <hyperlink ref="D4067" r:id="rId_hyperlink_3592"/>
    <hyperlink ref="D4068" r:id="rId_hyperlink_3593"/>
    <hyperlink ref="D4070" r:id="rId_hyperlink_3594"/>
    <hyperlink ref="D4071" r:id="rId_hyperlink_3595"/>
    <hyperlink ref="D4072" r:id="rId_hyperlink_3596"/>
    <hyperlink ref="D4073" r:id="rId_hyperlink_3597"/>
    <hyperlink ref="D4074" r:id="rId_hyperlink_3598"/>
    <hyperlink ref="D4075" r:id="rId_hyperlink_3599"/>
    <hyperlink ref="D4076" r:id="rId_hyperlink_3600"/>
    <hyperlink ref="D4077" r:id="rId_hyperlink_3601"/>
    <hyperlink ref="D4078" r:id="rId_hyperlink_3602"/>
    <hyperlink ref="D4079" r:id="rId_hyperlink_3603"/>
    <hyperlink ref="D4080" r:id="rId_hyperlink_3604"/>
    <hyperlink ref="D4081" r:id="rId_hyperlink_3605"/>
    <hyperlink ref="D4082" r:id="rId_hyperlink_3606"/>
    <hyperlink ref="D4083" r:id="rId_hyperlink_3607"/>
    <hyperlink ref="D4084" r:id="rId_hyperlink_3608"/>
    <hyperlink ref="D4085" r:id="rId_hyperlink_3609"/>
    <hyperlink ref="D4086" r:id="rId_hyperlink_3610"/>
    <hyperlink ref="D4087" r:id="rId_hyperlink_3611"/>
    <hyperlink ref="D4088" r:id="rId_hyperlink_3612"/>
    <hyperlink ref="D4089" r:id="rId_hyperlink_3613"/>
    <hyperlink ref="D4091" r:id="rId_hyperlink_3614"/>
    <hyperlink ref="D4092" r:id="rId_hyperlink_3615"/>
    <hyperlink ref="D4093" r:id="rId_hyperlink_3616"/>
    <hyperlink ref="D4094" r:id="rId_hyperlink_3617"/>
    <hyperlink ref="D4095" r:id="rId_hyperlink_3618"/>
    <hyperlink ref="D4096" r:id="rId_hyperlink_3619"/>
    <hyperlink ref="D4097" r:id="rId_hyperlink_3620"/>
    <hyperlink ref="D4098" r:id="rId_hyperlink_3621"/>
    <hyperlink ref="D4099" r:id="rId_hyperlink_3622"/>
    <hyperlink ref="D4100" r:id="rId_hyperlink_3623"/>
    <hyperlink ref="D4101" r:id="rId_hyperlink_3624"/>
    <hyperlink ref="D4102" r:id="rId_hyperlink_3625"/>
    <hyperlink ref="D4103" r:id="rId_hyperlink_3626"/>
    <hyperlink ref="D4105" r:id="rId_hyperlink_3627"/>
    <hyperlink ref="D4106" r:id="rId_hyperlink_3628"/>
    <hyperlink ref="D4107" r:id="rId_hyperlink_3629"/>
    <hyperlink ref="D4108" r:id="rId_hyperlink_3630"/>
    <hyperlink ref="D4109" r:id="rId_hyperlink_3631"/>
    <hyperlink ref="D4110" r:id="rId_hyperlink_3632"/>
    <hyperlink ref="D4111" r:id="rId_hyperlink_3633"/>
    <hyperlink ref="D4112" r:id="rId_hyperlink_3634"/>
    <hyperlink ref="D4113" r:id="rId_hyperlink_3635"/>
    <hyperlink ref="D4114" r:id="rId_hyperlink_3636"/>
    <hyperlink ref="D4115" r:id="rId_hyperlink_3637"/>
    <hyperlink ref="D4116" r:id="rId_hyperlink_3638"/>
    <hyperlink ref="D4117" r:id="rId_hyperlink_3639"/>
    <hyperlink ref="D4118" r:id="rId_hyperlink_3640"/>
    <hyperlink ref="D4119" r:id="rId_hyperlink_3641"/>
    <hyperlink ref="D4120" r:id="rId_hyperlink_3642"/>
    <hyperlink ref="D4122" r:id="rId_hyperlink_3643"/>
    <hyperlink ref="D4123" r:id="rId_hyperlink_3644"/>
    <hyperlink ref="D4124" r:id="rId_hyperlink_3645"/>
    <hyperlink ref="D4125" r:id="rId_hyperlink_3646"/>
    <hyperlink ref="D4126" r:id="rId_hyperlink_3647"/>
    <hyperlink ref="D4127" r:id="rId_hyperlink_3648"/>
    <hyperlink ref="D4128" r:id="rId_hyperlink_3649"/>
    <hyperlink ref="D4129" r:id="rId_hyperlink_3650"/>
    <hyperlink ref="D4130" r:id="rId_hyperlink_3651"/>
    <hyperlink ref="D4131" r:id="rId_hyperlink_3652"/>
    <hyperlink ref="D4132" r:id="rId_hyperlink_3653"/>
    <hyperlink ref="D4133" r:id="rId_hyperlink_3654"/>
    <hyperlink ref="D4134" r:id="rId_hyperlink_3655"/>
    <hyperlink ref="D4135" r:id="rId_hyperlink_3656"/>
    <hyperlink ref="D4136" r:id="rId_hyperlink_3657"/>
    <hyperlink ref="D4137" r:id="rId_hyperlink_3658"/>
    <hyperlink ref="D4138" r:id="rId_hyperlink_3659"/>
    <hyperlink ref="D4139" r:id="rId_hyperlink_3660"/>
    <hyperlink ref="D4140" r:id="rId_hyperlink_3661"/>
    <hyperlink ref="D4142" r:id="rId_hyperlink_3662"/>
    <hyperlink ref="D4143" r:id="rId_hyperlink_3663"/>
    <hyperlink ref="D4144" r:id="rId_hyperlink_3664"/>
    <hyperlink ref="D4145" r:id="rId_hyperlink_3665"/>
    <hyperlink ref="D4146" r:id="rId_hyperlink_3666"/>
    <hyperlink ref="D4147" r:id="rId_hyperlink_3667"/>
    <hyperlink ref="D4148" r:id="rId_hyperlink_3668"/>
    <hyperlink ref="D4149" r:id="rId_hyperlink_3669"/>
    <hyperlink ref="D4150" r:id="rId_hyperlink_3670"/>
    <hyperlink ref="D4151" r:id="rId_hyperlink_3671"/>
    <hyperlink ref="D4152" r:id="rId_hyperlink_3672"/>
    <hyperlink ref="D4153" r:id="rId_hyperlink_3673"/>
    <hyperlink ref="D4154" r:id="rId_hyperlink_3674"/>
    <hyperlink ref="D4155" r:id="rId_hyperlink_3675"/>
    <hyperlink ref="D4156" r:id="rId_hyperlink_3676"/>
    <hyperlink ref="D4157" r:id="rId_hyperlink_3677"/>
    <hyperlink ref="D4158" r:id="rId_hyperlink_3678"/>
    <hyperlink ref="D4159" r:id="rId_hyperlink_3679"/>
    <hyperlink ref="D4160" r:id="rId_hyperlink_3680"/>
    <hyperlink ref="D4161" r:id="rId_hyperlink_3681"/>
    <hyperlink ref="D4162" r:id="rId_hyperlink_3682"/>
    <hyperlink ref="D4163" r:id="rId_hyperlink_3683"/>
    <hyperlink ref="D4164" r:id="rId_hyperlink_3684"/>
    <hyperlink ref="D4165" r:id="rId_hyperlink_3685"/>
    <hyperlink ref="D4166" r:id="rId_hyperlink_3686"/>
    <hyperlink ref="D4167" r:id="rId_hyperlink_3687"/>
    <hyperlink ref="D4168" r:id="rId_hyperlink_3688"/>
    <hyperlink ref="D4169" r:id="rId_hyperlink_3689"/>
    <hyperlink ref="D4170" r:id="rId_hyperlink_3690"/>
    <hyperlink ref="D4171" r:id="rId_hyperlink_3691"/>
    <hyperlink ref="D4172" r:id="rId_hyperlink_3692"/>
    <hyperlink ref="D4173" r:id="rId_hyperlink_3693"/>
    <hyperlink ref="D4174" r:id="rId_hyperlink_3694"/>
    <hyperlink ref="D4175" r:id="rId_hyperlink_3695"/>
    <hyperlink ref="D4176" r:id="rId_hyperlink_3696"/>
    <hyperlink ref="D4177" r:id="rId_hyperlink_3697"/>
    <hyperlink ref="D4178" r:id="rId_hyperlink_3698"/>
    <hyperlink ref="D4179" r:id="rId_hyperlink_3699"/>
    <hyperlink ref="D4180" r:id="rId_hyperlink_3700"/>
    <hyperlink ref="D4181" r:id="rId_hyperlink_3701"/>
    <hyperlink ref="D4182" r:id="rId_hyperlink_3702"/>
    <hyperlink ref="D4183" r:id="rId_hyperlink_3703"/>
    <hyperlink ref="D4184" r:id="rId_hyperlink_3704"/>
    <hyperlink ref="D4185" r:id="rId_hyperlink_3705"/>
    <hyperlink ref="D4186" r:id="rId_hyperlink_3706"/>
    <hyperlink ref="D4187" r:id="rId_hyperlink_3707"/>
    <hyperlink ref="D4188" r:id="rId_hyperlink_3708"/>
    <hyperlink ref="D4189" r:id="rId_hyperlink_3709"/>
    <hyperlink ref="D4190" r:id="rId_hyperlink_3710"/>
    <hyperlink ref="D4191" r:id="rId_hyperlink_3711"/>
    <hyperlink ref="D4192" r:id="rId_hyperlink_3712"/>
    <hyperlink ref="D4193" r:id="rId_hyperlink_3713"/>
    <hyperlink ref="D4194" r:id="rId_hyperlink_3714"/>
    <hyperlink ref="D4195" r:id="rId_hyperlink_3715"/>
    <hyperlink ref="D4196" r:id="rId_hyperlink_3716"/>
    <hyperlink ref="D4197" r:id="rId_hyperlink_3717"/>
    <hyperlink ref="D4198" r:id="rId_hyperlink_3718"/>
    <hyperlink ref="D4199" r:id="rId_hyperlink_3719"/>
    <hyperlink ref="D4200" r:id="rId_hyperlink_3720"/>
    <hyperlink ref="D4201" r:id="rId_hyperlink_3721"/>
    <hyperlink ref="D4202" r:id="rId_hyperlink_3722"/>
    <hyperlink ref="D4203" r:id="rId_hyperlink_3723"/>
    <hyperlink ref="D4204" r:id="rId_hyperlink_3724"/>
    <hyperlink ref="D4205" r:id="rId_hyperlink_3725"/>
    <hyperlink ref="D4206" r:id="rId_hyperlink_3726"/>
    <hyperlink ref="D4207" r:id="rId_hyperlink_3727"/>
    <hyperlink ref="D4208" r:id="rId_hyperlink_3728"/>
    <hyperlink ref="D4209" r:id="rId_hyperlink_3729"/>
    <hyperlink ref="D4210" r:id="rId_hyperlink_3730"/>
    <hyperlink ref="D4211" r:id="rId_hyperlink_3731"/>
    <hyperlink ref="D4212" r:id="rId_hyperlink_3732"/>
    <hyperlink ref="D4213" r:id="rId_hyperlink_3733"/>
    <hyperlink ref="D4214" r:id="rId_hyperlink_3734"/>
    <hyperlink ref="D4215" r:id="rId_hyperlink_3735"/>
    <hyperlink ref="D4216" r:id="rId_hyperlink_3736"/>
    <hyperlink ref="D4217" r:id="rId_hyperlink_3737"/>
    <hyperlink ref="D4218" r:id="rId_hyperlink_3738"/>
    <hyperlink ref="D4219" r:id="rId_hyperlink_3739"/>
    <hyperlink ref="D4220" r:id="rId_hyperlink_3740"/>
    <hyperlink ref="D4223" r:id="rId_hyperlink_3741"/>
    <hyperlink ref="D4224" r:id="rId_hyperlink_3742"/>
    <hyperlink ref="D4225" r:id="rId_hyperlink_3743"/>
    <hyperlink ref="D4226" r:id="rId_hyperlink_3744"/>
    <hyperlink ref="D4227" r:id="rId_hyperlink_3745"/>
    <hyperlink ref="D4228" r:id="rId_hyperlink_3746"/>
    <hyperlink ref="D4229" r:id="rId_hyperlink_3747"/>
    <hyperlink ref="D4230" r:id="rId_hyperlink_3748"/>
    <hyperlink ref="D4231" r:id="rId_hyperlink_3749"/>
    <hyperlink ref="D4232" r:id="rId_hyperlink_3750"/>
    <hyperlink ref="D4233" r:id="rId_hyperlink_3751"/>
    <hyperlink ref="D4234" r:id="rId_hyperlink_3752"/>
    <hyperlink ref="D4235" r:id="rId_hyperlink_3753"/>
    <hyperlink ref="D4236" r:id="rId_hyperlink_3754"/>
    <hyperlink ref="D4237" r:id="rId_hyperlink_3755"/>
    <hyperlink ref="D4238" r:id="rId_hyperlink_3756"/>
    <hyperlink ref="D4239" r:id="rId_hyperlink_3757"/>
    <hyperlink ref="D4240" r:id="rId_hyperlink_3758"/>
    <hyperlink ref="D4241" r:id="rId_hyperlink_3759"/>
    <hyperlink ref="D4242" r:id="rId_hyperlink_3760"/>
    <hyperlink ref="D4243" r:id="rId_hyperlink_3761"/>
    <hyperlink ref="D4244" r:id="rId_hyperlink_3762"/>
    <hyperlink ref="D4245" r:id="rId_hyperlink_3763"/>
    <hyperlink ref="D4246" r:id="rId_hyperlink_3764"/>
    <hyperlink ref="D4247" r:id="rId_hyperlink_3765"/>
    <hyperlink ref="D4248" r:id="rId_hyperlink_3766"/>
    <hyperlink ref="D4249" r:id="rId_hyperlink_3767"/>
    <hyperlink ref="D4250" r:id="rId_hyperlink_3768"/>
    <hyperlink ref="D4251" r:id="rId_hyperlink_3769"/>
    <hyperlink ref="D4252" r:id="rId_hyperlink_3770"/>
    <hyperlink ref="D4253" r:id="rId_hyperlink_3771"/>
    <hyperlink ref="D4254" r:id="rId_hyperlink_3772"/>
    <hyperlink ref="D4255" r:id="rId_hyperlink_3773"/>
    <hyperlink ref="D4256" r:id="rId_hyperlink_3774"/>
    <hyperlink ref="D4257" r:id="rId_hyperlink_3775"/>
    <hyperlink ref="D4258" r:id="rId_hyperlink_3776"/>
    <hyperlink ref="D4259" r:id="rId_hyperlink_3777"/>
    <hyperlink ref="D4260" r:id="rId_hyperlink_3778"/>
    <hyperlink ref="D4261" r:id="rId_hyperlink_3779"/>
    <hyperlink ref="D4262" r:id="rId_hyperlink_3780"/>
    <hyperlink ref="D4263" r:id="rId_hyperlink_3781"/>
    <hyperlink ref="D4264" r:id="rId_hyperlink_3782"/>
    <hyperlink ref="D4266" r:id="rId_hyperlink_3783"/>
    <hyperlink ref="D4267" r:id="rId_hyperlink_3784"/>
    <hyperlink ref="D4270" r:id="rId_hyperlink_3785"/>
    <hyperlink ref="D4271" r:id="rId_hyperlink_3786"/>
    <hyperlink ref="D4272" r:id="rId_hyperlink_3787"/>
    <hyperlink ref="D4273" r:id="rId_hyperlink_3788"/>
    <hyperlink ref="D4274" r:id="rId_hyperlink_3789"/>
    <hyperlink ref="D4275" r:id="rId_hyperlink_3790"/>
    <hyperlink ref="D4276" r:id="rId_hyperlink_3791"/>
    <hyperlink ref="D4277" r:id="rId_hyperlink_3792"/>
    <hyperlink ref="D4278" r:id="rId_hyperlink_3793"/>
    <hyperlink ref="D4280" r:id="rId_hyperlink_3794"/>
    <hyperlink ref="D4281" r:id="rId_hyperlink_3795"/>
    <hyperlink ref="D4282" r:id="rId_hyperlink_3796"/>
    <hyperlink ref="D4283" r:id="rId_hyperlink_3797"/>
    <hyperlink ref="D4284" r:id="rId_hyperlink_3798"/>
    <hyperlink ref="D4285" r:id="rId_hyperlink_3799"/>
    <hyperlink ref="D4286" r:id="rId_hyperlink_3800"/>
    <hyperlink ref="D4287" r:id="rId_hyperlink_3801"/>
    <hyperlink ref="D4288" r:id="rId_hyperlink_3802"/>
    <hyperlink ref="D4289" r:id="rId_hyperlink_3803"/>
    <hyperlink ref="D4290" r:id="rId_hyperlink_3804"/>
    <hyperlink ref="D4291" r:id="rId_hyperlink_3805"/>
    <hyperlink ref="D4292" r:id="rId_hyperlink_3806"/>
    <hyperlink ref="D4293" r:id="rId_hyperlink_3807"/>
    <hyperlink ref="D4294" r:id="rId_hyperlink_3808"/>
    <hyperlink ref="D4295" r:id="rId_hyperlink_3809"/>
    <hyperlink ref="D4296" r:id="rId_hyperlink_3810"/>
    <hyperlink ref="D4297" r:id="rId_hyperlink_3811"/>
    <hyperlink ref="D4298" r:id="rId_hyperlink_3812"/>
    <hyperlink ref="D4299" r:id="rId_hyperlink_3813"/>
    <hyperlink ref="D4300" r:id="rId_hyperlink_3814"/>
    <hyperlink ref="D4301" r:id="rId_hyperlink_3815"/>
    <hyperlink ref="D4302" r:id="rId_hyperlink_3816"/>
    <hyperlink ref="D4303" r:id="rId_hyperlink_3817"/>
    <hyperlink ref="D4304" r:id="rId_hyperlink_3818"/>
    <hyperlink ref="D4305" r:id="rId_hyperlink_3819"/>
    <hyperlink ref="D4306" r:id="rId_hyperlink_3820"/>
    <hyperlink ref="D4307" r:id="rId_hyperlink_3821"/>
    <hyperlink ref="D4308" r:id="rId_hyperlink_3822"/>
    <hyperlink ref="D4309" r:id="rId_hyperlink_3823"/>
    <hyperlink ref="D4310" r:id="rId_hyperlink_3824"/>
    <hyperlink ref="D4311" r:id="rId_hyperlink_3825"/>
    <hyperlink ref="D4312" r:id="rId_hyperlink_3826"/>
    <hyperlink ref="D4313" r:id="rId_hyperlink_3827"/>
    <hyperlink ref="D4314" r:id="rId_hyperlink_3828"/>
    <hyperlink ref="D4315" r:id="rId_hyperlink_3829"/>
    <hyperlink ref="D4316" r:id="rId_hyperlink_3830"/>
    <hyperlink ref="D4317" r:id="rId_hyperlink_3831"/>
    <hyperlink ref="D4318" r:id="rId_hyperlink_3832"/>
    <hyperlink ref="D4319" r:id="rId_hyperlink_3833"/>
    <hyperlink ref="D4320" r:id="rId_hyperlink_3834"/>
    <hyperlink ref="D4321" r:id="rId_hyperlink_3835"/>
    <hyperlink ref="D4322" r:id="rId_hyperlink_3836"/>
    <hyperlink ref="D4323" r:id="rId_hyperlink_3837"/>
    <hyperlink ref="D4324" r:id="rId_hyperlink_3838"/>
    <hyperlink ref="D4325" r:id="rId_hyperlink_3839"/>
    <hyperlink ref="D4326" r:id="rId_hyperlink_3840"/>
    <hyperlink ref="D4327" r:id="rId_hyperlink_3841"/>
    <hyperlink ref="D4328" r:id="rId_hyperlink_3842"/>
    <hyperlink ref="D4329" r:id="rId_hyperlink_3843"/>
    <hyperlink ref="D4330" r:id="rId_hyperlink_3844"/>
    <hyperlink ref="D4331" r:id="rId_hyperlink_3845"/>
    <hyperlink ref="D4332" r:id="rId_hyperlink_3846"/>
    <hyperlink ref="D4333" r:id="rId_hyperlink_3847"/>
    <hyperlink ref="D4334" r:id="rId_hyperlink_3848"/>
    <hyperlink ref="D4335" r:id="rId_hyperlink_3849"/>
    <hyperlink ref="D4336" r:id="rId_hyperlink_3850"/>
    <hyperlink ref="D4337" r:id="rId_hyperlink_3851"/>
    <hyperlink ref="D4338" r:id="rId_hyperlink_3852"/>
    <hyperlink ref="D4339" r:id="rId_hyperlink_3853"/>
    <hyperlink ref="D4340" r:id="rId_hyperlink_3854"/>
    <hyperlink ref="D4341" r:id="rId_hyperlink_3855"/>
    <hyperlink ref="D4342" r:id="rId_hyperlink_3856"/>
    <hyperlink ref="D4343" r:id="rId_hyperlink_3857"/>
    <hyperlink ref="D4344" r:id="rId_hyperlink_3858"/>
    <hyperlink ref="D4345" r:id="rId_hyperlink_3859"/>
    <hyperlink ref="D4346" r:id="rId_hyperlink_3860"/>
    <hyperlink ref="D4347" r:id="rId_hyperlink_3861"/>
    <hyperlink ref="D4348" r:id="rId_hyperlink_3862"/>
    <hyperlink ref="D4349" r:id="rId_hyperlink_3863"/>
    <hyperlink ref="D4350" r:id="rId_hyperlink_3864"/>
    <hyperlink ref="D4351" r:id="rId_hyperlink_3865"/>
    <hyperlink ref="D4352" r:id="rId_hyperlink_3866"/>
    <hyperlink ref="D4353" r:id="rId_hyperlink_3867"/>
    <hyperlink ref="D4354" r:id="rId_hyperlink_3868"/>
    <hyperlink ref="D4355" r:id="rId_hyperlink_3869"/>
    <hyperlink ref="D4356" r:id="rId_hyperlink_3870"/>
    <hyperlink ref="D4357" r:id="rId_hyperlink_3871"/>
    <hyperlink ref="D4358" r:id="rId_hyperlink_3872"/>
    <hyperlink ref="D4359" r:id="rId_hyperlink_3873"/>
    <hyperlink ref="D4360" r:id="rId_hyperlink_3874"/>
    <hyperlink ref="D4361" r:id="rId_hyperlink_3875"/>
    <hyperlink ref="D4362" r:id="rId_hyperlink_3876"/>
    <hyperlink ref="D4363" r:id="rId_hyperlink_3877"/>
    <hyperlink ref="D4364" r:id="rId_hyperlink_3878"/>
    <hyperlink ref="D4365" r:id="rId_hyperlink_3879"/>
    <hyperlink ref="D4366" r:id="rId_hyperlink_3880"/>
    <hyperlink ref="D4367" r:id="rId_hyperlink_3881"/>
    <hyperlink ref="D4368" r:id="rId_hyperlink_3882"/>
    <hyperlink ref="D4369" r:id="rId_hyperlink_3883"/>
    <hyperlink ref="D4370" r:id="rId_hyperlink_3884"/>
    <hyperlink ref="D4371" r:id="rId_hyperlink_3885"/>
    <hyperlink ref="D4372" r:id="rId_hyperlink_3886"/>
    <hyperlink ref="D4373" r:id="rId_hyperlink_3887"/>
    <hyperlink ref="D4374" r:id="rId_hyperlink_3888"/>
    <hyperlink ref="D4375" r:id="rId_hyperlink_3889"/>
    <hyperlink ref="D4376" r:id="rId_hyperlink_3890"/>
    <hyperlink ref="D4378" r:id="rId_hyperlink_3891"/>
    <hyperlink ref="D4379" r:id="rId_hyperlink_3892"/>
    <hyperlink ref="D4380" r:id="rId_hyperlink_3893"/>
    <hyperlink ref="D4382" r:id="rId_hyperlink_3894"/>
    <hyperlink ref="D4383" r:id="rId_hyperlink_3895"/>
    <hyperlink ref="D4384" r:id="rId_hyperlink_3896"/>
    <hyperlink ref="D4387" r:id="rId_hyperlink_3897"/>
    <hyperlink ref="D4388" r:id="rId_hyperlink_3898"/>
    <hyperlink ref="D4389" r:id="rId_hyperlink_3899"/>
    <hyperlink ref="D4390" r:id="rId_hyperlink_3900"/>
    <hyperlink ref="D4391" r:id="rId_hyperlink_3901"/>
    <hyperlink ref="D4392" r:id="rId_hyperlink_3902"/>
    <hyperlink ref="D4393" r:id="rId_hyperlink_3903"/>
    <hyperlink ref="D4394" r:id="rId_hyperlink_3904"/>
    <hyperlink ref="D4395" r:id="rId_hyperlink_3905"/>
    <hyperlink ref="D4397" r:id="rId_hyperlink_3906"/>
    <hyperlink ref="D4398" r:id="rId_hyperlink_3907"/>
    <hyperlink ref="D4399" r:id="rId_hyperlink_3908"/>
    <hyperlink ref="D4400" r:id="rId_hyperlink_3909"/>
    <hyperlink ref="D4401" r:id="rId_hyperlink_3910"/>
    <hyperlink ref="D4402" r:id="rId_hyperlink_3911"/>
    <hyperlink ref="D4403" r:id="rId_hyperlink_3912"/>
    <hyperlink ref="D4404" r:id="rId_hyperlink_3913"/>
    <hyperlink ref="D4405" r:id="rId_hyperlink_3914"/>
    <hyperlink ref="D4406" r:id="rId_hyperlink_3915"/>
    <hyperlink ref="D4407" r:id="rId_hyperlink_3916"/>
    <hyperlink ref="D4408" r:id="rId_hyperlink_3917"/>
    <hyperlink ref="D4409" r:id="rId_hyperlink_3918"/>
    <hyperlink ref="D4410" r:id="rId_hyperlink_3919"/>
    <hyperlink ref="D4411" r:id="rId_hyperlink_3920"/>
    <hyperlink ref="D4412" r:id="rId_hyperlink_3921"/>
    <hyperlink ref="D4413" r:id="rId_hyperlink_3922"/>
    <hyperlink ref="D4414" r:id="rId_hyperlink_3923"/>
    <hyperlink ref="D4415" r:id="rId_hyperlink_3924"/>
    <hyperlink ref="D4416" r:id="rId_hyperlink_3925"/>
    <hyperlink ref="D4417" r:id="rId_hyperlink_3926"/>
    <hyperlink ref="D4418" r:id="rId_hyperlink_3927"/>
    <hyperlink ref="D4419" r:id="rId_hyperlink_3928"/>
    <hyperlink ref="D4420" r:id="rId_hyperlink_3929"/>
    <hyperlink ref="D4421" r:id="rId_hyperlink_3930"/>
    <hyperlink ref="D4422" r:id="rId_hyperlink_3931"/>
    <hyperlink ref="D4424" r:id="rId_hyperlink_3932"/>
    <hyperlink ref="D4425" r:id="rId_hyperlink_3933"/>
    <hyperlink ref="D4427" r:id="rId_hyperlink_3934"/>
    <hyperlink ref="D4428" r:id="rId_hyperlink_3935"/>
    <hyperlink ref="D4429" r:id="rId_hyperlink_3936"/>
    <hyperlink ref="D4433" r:id="rId_hyperlink_3937"/>
    <hyperlink ref="D4434" r:id="rId_hyperlink_3938"/>
    <hyperlink ref="D4435" r:id="rId_hyperlink_3939"/>
    <hyperlink ref="D4436" r:id="rId_hyperlink_3940"/>
    <hyperlink ref="D4437" r:id="rId_hyperlink_3941"/>
    <hyperlink ref="D4439" r:id="rId_hyperlink_3942"/>
    <hyperlink ref="D4441" r:id="rId_hyperlink_3943"/>
    <hyperlink ref="D4442" r:id="rId_hyperlink_3944"/>
    <hyperlink ref="D4443" r:id="rId_hyperlink_3945"/>
    <hyperlink ref="D4444" r:id="rId_hyperlink_3946"/>
    <hyperlink ref="D4445" r:id="rId_hyperlink_3947"/>
    <hyperlink ref="D4446" r:id="rId_hyperlink_3948"/>
    <hyperlink ref="D4447" r:id="rId_hyperlink_3949"/>
    <hyperlink ref="D4448" r:id="rId_hyperlink_3950"/>
    <hyperlink ref="D4449" r:id="rId_hyperlink_3951"/>
    <hyperlink ref="D4450" r:id="rId_hyperlink_3952"/>
    <hyperlink ref="D4451" r:id="rId_hyperlink_3953"/>
    <hyperlink ref="D4452" r:id="rId_hyperlink_3954"/>
    <hyperlink ref="D4453" r:id="rId_hyperlink_3955"/>
    <hyperlink ref="D4454" r:id="rId_hyperlink_3956"/>
    <hyperlink ref="D4455" r:id="rId_hyperlink_3957"/>
    <hyperlink ref="D4456" r:id="rId_hyperlink_3958"/>
    <hyperlink ref="D4457" r:id="rId_hyperlink_3959"/>
    <hyperlink ref="D4458" r:id="rId_hyperlink_3960"/>
    <hyperlink ref="D4459" r:id="rId_hyperlink_3961"/>
    <hyperlink ref="D4460" r:id="rId_hyperlink_3962"/>
    <hyperlink ref="D4461" r:id="rId_hyperlink_3963"/>
    <hyperlink ref="D4462" r:id="rId_hyperlink_3964"/>
    <hyperlink ref="D4463" r:id="rId_hyperlink_3965"/>
    <hyperlink ref="D4464" r:id="rId_hyperlink_3966"/>
    <hyperlink ref="D4465" r:id="rId_hyperlink_3967"/>
    <hyperlink ref="D4466" r:id="rId_hyperlink_3968"/>
    <hyperlink ref="D4467" r:id="rId_hyperlink_3969"/>
    <hyperlink ref="D4468" r:id="rId_hyperlink_3970"/>
    <hyperlink ref="D4469" r:id="rId_hyperlink_3971"/>
    <hyperlink ref="D4470" r:id="rId_hyperlink_3972"/>
    <hyperlink ref="D4471" r:id="rId_hyperlink_3973"/>
    <hyperlink ref="D4472" r:id="rId_hyperlink_3974"/>
    <hyperlink ref="D4473" r:id="rId_hyperlink_3975"/>
    <hyperlink ref="D4475" r:id="rId_hyperlink_3976"/>
    <hyperlink ref="D4476" r:id="rId_hyperlink_3977"/>
    <hyperlink ref="D4477" r:id="rId_hyperlink_3978"/>
    <hyperlink ref="D4478" r:id="rId_hyperlink_3979"/>
    <hyperlink ref="D4479" r:id="rId_hyperlink_3980"/>
    <hyperlink ref="D4480" r:id="rId_hyperlink_3981"/>
    <hyperlink ref="D4482" r:id="rId_hyperlink_3982"/>
    <hyperlink ref="D4483" r:id="rId_hyperlink_3983"/>
    <hyperlink ref="D4484" r:id="rId_hyperlink_3984"/>
    <hyperlink ref="D4485" r:id="rId_hyperlink_3985"/>
    <hyperlink ref="D4486" r:id="rId_hyperlink_3986"/>
    <hyperlink ref="D4487" r:id="rId_hyperlink_3987"/>
    <hyperlink ref="D4488" r:id="rId_hyperlink_3988"/>
    <hyperlink ref="D4489" r:id="rId_hyperlink_3989"/>
    <hyperlink ref="D4490" r:id="rId_hyperlink_3990"/>
    <hyperlink ref="D4491" r:id="rId_hyperlink_3991"/>
    <hyperlink ref="D4492" r:id="rId_hyperlink_3992"/>
    <hyperlink ref="D4493" r:id="rId_hyperlink_3993"/>
    <hyperlink ref="D4494" r:id="rId_hyperlink_3994"/>
    <hyperlink ref="D4495" r:id="rId_hyperlink_3995"/>
    <hyperlink ref="D4496" r:id="rId_hyperlink_3996"/>
    <hyperlink ref="D4498" r:id="rId_hyperlink_3997"/>
    <hyperlink ref="D4499" r:id="rId_hyperlink_3998"/>
    <hyperlink ref="D4500" r:id="rId_hyperlink_3999"/>
    <hyperlink ref="D4501" r:id="rId_hyperlink_4000"/>
    <hyperlink ref="D4503" r:id="rId_hyperlink_4001"/>
    <hyperlink ref="D4504" r:id="rId_hyperlink_4002"/>
    <hyperlink ref="D4505" r:id="rId_hyperlink_4003"/>
    <hyperlink ref="D4507" r:id="rId_hyperlink_4004"/>
    <hyperlink ref="D4508" r:id="rId_hyperlink_4005"/>
    <hyperlink ref="D4510" r:id="rId_hyperlink_4006"/>
    <hyperlink ref="D4511" r:id="rId_hyperlink_4007"/>
    <hyperlink ref="D4513" r:id="rId_hyperlink_4008"/>
    <hyperlink ref="D4514" r:id="rId_hyperlink_4009"/>
    <hyperlink ref="D4515" r:id="rId_hyperlink_4010"/>
    <hyperlink ref="D4516" r:id="rId_hyperlink_4011"/>
    <hyperlink ref="D4518" r:id="rId_hyperlink_4012"/>
    <hyperlink ref="D4519" r:id="rId_hyperlink_4013"/>
    <hyperlink ref="D4520" r:id="rId_hyperlink_4014"/>
    <hyperlink ref="D4521" r:id="rId_hyperlink_4015"/>
    <hyperlink ref="D4522" r:id="rId_hyperlink_4016"/>
    <hyperlink ref="D4525" r:id="rId_hyperlink_4017"/>
    <hyperlink ref="D4526" r:id="rId_hyperlink_4018"/>
    <hyperlink ref="D4527" r:id="rId_hyperlink_4019"/>
    <hyperlink ref="D4528" r:id="rId_hyperlink_4020"/>
    <hyperlink ref="D4529" r:id="rId_hyperlink_4021"/>
    <hyperlink ref="D4530" r:id="rId_hyperlink_4022"/>
    <hyperlink ref="D4531" r:id="rId_hyperlink_4023"/>
    <hyperlink ref="D4532" r:id="rId_hyperlink_4024"/>
    <hyperlink ref="D4533" r:id="rId_hyperlink_4025"/>
    <hyperlink ref="D4534" r:id="rId_hyperlink_4026"/>
    <hyperlink ref="D4535" r:id="rId_hyperlink_4027"/>
    <hyperlink ref="D4536" r:id="rId_hyperlink_4028"/>
    <hyperlink ref="D4537" r:id="rId_hyperlink_4029"/>
    <hyperlink ref="D4538" r:id="rId_hyperlink_4030"/>
    <hyperlink ref="D4539" r:id="rId_hyperlink_4031"/>
    <hyperlink ref="D4540" r:id="rId_hyperlink_4032"/>
    <hyperlink ref="D4542" r:id="rId_hyperlink_4033"/>
    <hyperlink ref="D4543" r:id="rId_hyperlink_4034"/>
    <hyperlink ref="D4544" r:id="rId_hyperlink_4035"/>
    <hyperlink ref="D4545" r:id="rId_hyperlink_4036"/>
    <hyperlink ref="D4546" r:id="rId_hyperlink_4037"/>
    <hyperlink ref="D4547" r:id="rId_hyperlink_4038"/>
    <hyperlink ref="D4548" r:id="rId_hyperlink_4039"/>
    <hyperlink ref="D4549" r:id="rId_hyperlink_4040"/>
    <hyperlink ref="D4550" r:id="rId_hyperlink_4041"/>
    <hyperlink ref="D4551" r:id="rId_hyperlink_4042"/>
    <hyperlink ref="D4552" r:id="rId_hyperlink_4043"/>
    <hyperlink ref="D4553" r:id="rId_hyperlink_4044"/>
    <hyperlink ref="D4554" r:id="rId_hyperlink_4045"/>
    <hyperlink ref="D4555" r:id="rId_hyperlink_4046"/>
    <hyperlink ref="D4556" r:id="rId_hyperlink_4047"/>
    <hyperlink ref="D4557" r:id="rId_hyperlink_4048"/>
    <hyperlink ref="D4558" r:id="rId_hyperlink_4049"/>
    <hyperlink ref="D4559" r:id="rId_hyperlink_4050"/>
    <hyperlink ref="D4560" r:id="rId_hyperlink_4051"/>
    <hyperlink ref="D4561" r:id="rId_hyperlink_4052"/>
    <hyperlink ref="D4562" r:id="rId_hyperlink_4053"/>
    <hyperlink ref="D4563" r:id="rId_hyperlink_4054"/>
    <hyperlink ref="D4564" r:id="rId_hyperlink_4055"/>
    <hyperlink ref="D4565" r:id="rId_hyperlink_4056"/>
    <hyperlink ref="D4566" r:id="rId_hyperlink_4057"/>
    <hyperlink ref="D4567" r:id="rId_hyperlink_4058"/>
    <hyperlink ref="D4568" r:id="rId_hyperlink_4059"/>
    <hyperlink ref="D4569" r:id="rId_hyperlink_4060"/>
    <hyperlink ref="D4570" r:id="rId_hyperlink_4061"/>
    <hyperlink ref="D4571" r:id="rId_hyperlink_4062"/>
    <hyperlink ref="D4572" r:id="rId_hyperlink_4063"/>
    <hyperlink ref="D4574" r:id="rId_hyperlink_4064"/>
    <hyperlink ref="D4575" r:id="rId_hyperlink_4065"/>
    <hyperlink ref="D4576" r:id="rId_hyperlink_4066"/>
    <hyperlink ref="D4577" r:id="rId_hyperlink_4067"/>
    <hyperlink ref="D4578" r:id="rId_hyperlink_4068"/>
    <hyperlink ref="D4579" r:id="rId_hyperlink_4069"/>
    <hyperlink ref="D4581" r:id="rId_hyperlink_4070"/>
    <hyperlink ref="D4583" r:id="rId_hyperlink_4071"/>
    <hyperlink ref="D4584" r:id="rId_hyperlink_4072"/>
    <hyperlink ref="D4585" r:id="rId_hyperlink_4073"/>
    <hyperlink ref="D4586" r:id="rId_hyperlink_4074"/>
    <hyperlink ref="D4587" r:id="rId_hyperlink_4075"/>
    <hyperlink ref="D4588" r:id="rId_hyperlink_4076"/>
    <hyperlink ref="D4590" r:id="rId_hyperlink_4077"/>
    <hyperlink ref="D4591" r:id="rId_hyperlink_4078"/>
    <hyperlink ref="D4592" r:id="rId_hyperlink_4079"/>
    <hyperlink ref="D4593" r:id="rId_hyperlink_4080"/>
    <hyperlink ref="D4594" r:id="rId_hyperlink_4081"/>
    <hyperlink ref="D4595" r:id="rId_hyperlink_4082"/>
    <hyperlink ref="D4596" r:id="rId_hyperlink_4083"/>
    <hyperlink ref="D4597" r:id="rId_hyperlink_4084"/>
    <hyperlink ref="D4598" r:id="rId_hyperlink_4085"/>
    <hyperlink ref="D4599" r:id="rId_hyperlink_4086"/>
    <hyperlink ref="D4600" r:id="rId_hyperlink_4087"/>
    <hyperlink ref="D4601" r:id="rId_hyperlink_4088"/>
    <hyperlink ref="D4602" r:id="rId_hyperlink_4089"/>
    <hyperlink ref="D4603" r:id="rId_hyperlink_4090"/>
    <hyperlink ref="D4604" r:id="rId_hyperlink_4091"/>
    <hyperlink ref="D4605" r:id="rId_hyperlink_4092"/>
    <hyperlink ref="D4606" r:id="rId_hyperlink_4093"/>
    <hyperlink ref="D4607" r:id="rId_hyperlink_4094"/>
    <hyperlink ref="D4608" r:id="rId_hyperlink_4095"/>
    <hyperlink ref="D4609" r:id="rId_hyperlink_4096"/>
    <hyperlink ref="D4610" r:id="rId_hyperlink_4097"/>
    <hyperlink ref="D4611" r:id="rId_hyperlink_4098"/>
    <hyperlink ref="D4612" r:id="rId_hyperlink_4099"/>
    <hyperlink ref="D4613" r:id="rId_hyperlink_4100"/>
    <hyperlink ref="D4614" r:id="rId_hyperlink_4101"/>
    <hyperlink ref="D4615" r:id="rId_hyperlink_4102"/>
    <hyperlink ref="D4616" r:id="rId_hyperlink_4103"/>
    <hyperlink ref="D4617" r:id="rId_hyperlink_4104"/>
    <hyperlink ref="D4618" r:id="rId_hyperlink_4105"/>
    <hyperlink ref="D4619" r:id="rId_hyperlink_4106"/>
    <hyperlink ref="D4620" r:id="rId_hyperlink_4107"/>
    <hyperlink ref="D4621" r:id="rId_hyperlink_4108"/>
    <hyperlink ref="D4622" r:id="rId_hyperlink_4109"/>
    <hyperlink ref="D4623" r:id="rId_hyperlink_4110"/>
    <hyperlink ref="D4624" r:id="rId_hyperlink_4111"/>
    <hyperlink ref="D4625" r:id="rId_hyperlink_4112"/>
    <hyperlink ref="D4626" r:id="rId_hyperlink_4113"/>
    <hyperlink ref="D4627" r:id="rId_hyperlink_4114"/>
    <hyperlink ref="D4628" r:id="rId_hyperlink_4115"/>
    <hyperlink ref="D4629" r:id="rId_hyperlink_4116"/>
    <hyperlink ref="D4630" r:id="rId_hyperlink_4117"/>
    <hyperlink ref="D4631" r:id="rId_hyperlink_4118"/>
    <hyperlink ref="D4632" r:id="rId_hyperlink_4119"/>
    <hyperlink ref="D4633" r:id="rId_hyperlink_4120"/>
    <hyperlink ref="D4634" r:id="rId_hyperlink_4121"/>
    <hyperlink ref="D4635" r:id="rId_hyperlink_4122"/>
    <hyperlink ref="D4636" r:id="rId_hyperlink_4123"/>
    <hyperlink ref="D4637" r:id="rId_hyperlink_4124"/>
    <hyperlink ref="D4638" r:id="rId_hyperlink_4125"/>
    <hyperlink ref="D4639" r:id="rId_hyperlink_4126"/>
    <hyperlink ref="D4642" r:id="rId_hyperlink_4127"/>
    <hyperlink ref="D4644" r:id="rId_hyperlink_4128"/>
    <hyperlink ref="D4645" r:id="rId_hyperlink_4129"/>
    <hyperlink ref="D4646" r:id="rId_hyperlink_4130"/>
    <hyperlink ref="D4647" r:id="rId_hyperlink_4131"/>
    <hyperlink ref="D4648" r:id="rId_hyperlink_4132"/>
    <hyperlink ref="D4649" r:id="rId_hyperlink_4133"/>
    <hyperlink ref="D4650" r:id="rId_hyperlink_4134"/>
    <hyperlink ref="D4651" r:id="rId_hyperlink_4135"/>
    <hyperlink ref="D4653" r:id="rId_hyperlink_4136"/>
    <hyperlink ref="D4654" r:id="rId_hyperlink_4137"/>
    <hyperlink ref="D4655" r:id="rId_hyperlink_4138"/>
    <hyperlink ref="D4656" r:id="rId_hyperlink_4139"/>
    <hyperlink ref="D4657" r:id="rId_hyperlink_4140"/>
    <hyperlink ref="D4659" r:id="rId_hyperlink_4141"/>
    <hyperlink ref="D4660" r:id="rId_hyperlink_4142"/>
    <hyperlink ref="D4661" r:id="rId_hyperlink_4143"/>
    <hyperlink ref="D4663" r:id="rId_hyperlink_4144"/>
    <hyperlink ref="D4664" r:id="rId_hyperlink_4145"/>
    <hyperlink ref="D4665" r:id="rId_hyperlink_4146"/>
    <hyperlink ref="D4666" r:id="rId_hyperlink_4147"/>
    <hyperlink ref="D4667" r:id="rId_hyperlink_4148"/>
    <hyperlink ref="D4669" r:id="rId_hyperlink_4149"/>
    <hyperlink ref="D4670" r:id="rId_hyperlink_4150"/>
    <hyperlink ref="D4671" r:id="rId_hyperlink_4151"/>
    <hyperlink ref="D4672" r:id="rId_hyperlink_4152"/>
    <hyperlink ref="D4673" r:id="rId_hyperlink_4153"/>
    <hyperlink ref="D4674" r:id="rId_hyperlink_4154"/>
    <hyperlink ref="D4676" r:id="rId_hyperlink_4155"/>
    <hyperlink ref="D4677" r:id="rId_hyperlink_4156"/>
    <hyperlink ref="D4678" r:id="rId_hyperlink_4157"/>
    <hyperlink ref="D4679" r:id="rId_hyperlink_4158"/>
    <hyperlink ref="D4680" r:id="rId_hyperlink_4159"/>
    <hyperlink ref="D4681" r:id="rId_hyperlink_4160"/>
    <hyperlink ref="D4682" r:id="rId_hyperlink_4161"/>
    <hyperlink ref="D4683" r:id="rId_hyperlink_4162"/>
    <hyperlink ref="D4684" r:id="rId_hyperlink_4163"/>
    <hyperlink ref="D4685" r:id="rId_hyperlink_4164"/>
    <hyperlink ref="D4686" r:id="rId_hyperlink_4165"/>
    <hyperlink ref="D4687" r:id="rId_hyperlink_4166"/>
    <hyperlink ref="D4688" r:id="rId_hyperlink_4167"/>
    <hyperlink ref="D4689" r:id="rId_hyperlink_4168"/>
    <hyperlink ref="D4690" r:id="rId_hyperlink_4169"/>
    <hyperlink ref="D4691" r:id="rId_hyperlink_4170"/>
    <hyperlink ref="D4692" r:id="rId_hyperlink_4171"/>
    <hyperlink ref="D4693" r:id="rId_hyperlink_4172"/>
    <hyperlink ref="D4694" r:id="rId_hyperlink_4173"/>
    <hyperlink ref="D4695" r:id="rId_hyperlink_4174"/>
    <hyperlink ref="D4697" r:id="rId_hyperlink_4175"/>
    <hyperlink ref="D4698" r:id="rId_hyperlink_4176"/>
    <hyperlink ref="D4700" r:id="rId_hyperlink_4177"/>
    <hyperlink ref="D4701" r:id="rId_hyperlink_4178"/>
    <hyperlink ref="D4702" r:id="rId_hyperlink_4179"/>
    <hyperlink ref="D4703" r:id="rId_hyperlink_4180"/>
    <hyperlink ref="D4706" r:id="rId_hyperlink_4181"/>
    <hyperlink ref="D4707" r:id="rId_hyperlink_4182"/>
    <hyperlink ref="D4708" r:id="rId_hyperlink_4183"/>
    <hyperlink ref="D4709" r:id="rId_hyperlink_4184"/>
    <hyperlink ref="D4710" r:id="rId_hyperlink_4185"/>
    <hyperlink ref="D4711" r:id="rId_hyperlink_4186"/>
    <hyperlink ref="D4712" r:id="rId_hyperlink_4187"/>
    <hyperlink ref="D4713" r:id="rId_hyperlink_4188"/>
    <hyperlink ref="D4714" r:id="rId_hyperlink_4189"/>
    <hyperlink ref="D4715" r:id="rId_hyperlink_4190"/>
    <hyperlink ref="D4716" r:id="rId_hyperlink_4191"/>
    <hyperlink ref="D4717" r:id="rId_hyperlink_4192"/>
    <hyperlink ref="D4718" r:id="rId_hyperlink_4193"/>
    <hyperlink ref="D4719" r:id="rId_hyperlink_4194"/>
    <hyperlink ref="D4720" r:id="rId_hyperlink_4195"/>
    <hyperlink ref="D4721" r:id="rId_hyperlink_4196"/>
    <hyperlink ref="D4722" r:id="rId_hyperlink_4197"/>
    <hyperlink ref="D4723" r:id="rId_hyperlink_4198"/>
    <hyperlink ref="D4724" r:id="rId_hyperlink_4199"/>
    <hyperlink ref="D4725" r:id="rId_hyperlink_4200"/>
    <hyperlink ref="D4726" r:id="rId_hyperlink_4201"/>
    <hyperlink ref="D4727" r:id="rId_hyperlink_4202"/>
    <hyperlink ref="D4728" r:id="rId_hyperlink_4203"/>
    <hyperlink ref="D4729" r:id="rId_hyperlink_4204"/>
    <hyperlink ref="D4730" r:id="rId_hyperlink_4205"/>
    <hyperlink ref="D4731" r:id="rId_hyperlink_4206"/>
    <hyperlink ref="D4732" r:id="rId_hyperlink_4207"/>
    <hyperlink ref="D4733" r:id="rId_hyperlink_4208"/>
    <hyperlink ref="D4734" r:id="rId_hyperlink_4209"/>
    <hyperlink ref="D4735" r:id="rId_hyperlink_4210"/>
    <hyperlink ref="D4736" r:id="rId_hyperlink_4211"/>
    <hyperlink ref="D4737" r:id="rId_hyperlink_4212"/>
    <hyperlink ref="D4738" r:id="rId_hyperlink_4213"/>
    <hyperlink ref="D4739" r:id="rId_hyperlink_4214"/>
    <hyperlink ref="D4740" r:id="rId_hyperlink_4215"/>
    <hyperlink ref="D4741" r:id="rId_hyperlink_4216"/>
    <hyperlink ref="D4742" r:id="rId_hyperlink_4217"/>
    <hyperlink ref="D4743" r:id="rId_hyperlink_4218"/>
    <hyperlink ref="D4744" r:id="rId_hyperlink_4219"/>
    <hyperlink ref="D4745" r:id="rId_hyperlink_4220"/>
    <hyperlink ref="D4746" r:id="rId_hyperlink_4221"/>
    <hyperlink ref="D4747" r:id="rId_hyperlink_4222"/>
    <hyperlink ref="D4748" r:id="rId_hyperlink_4223"/>
    <hyperlink ref="D4749" r:id="rId_hyperlink_4224"/>
    <hyperlink ref="D4751" r:id="rId_hyperlink_4225"/>
    <hyperlink ref="D4752" r:id="rId_hyperlink_4226"/>
    <hyperlink ref="D4753" r:id="rId_hyperlink_4227"/>
    <hyperlink ref="D4754" r:id="rId_hyperlink_4228"/>
    <hyperlink ref="D4755" r:id="rId_hyperlink_4229"/>
    <hyperlink ref="D4756" r:id="rId_hyperlink_4230"/>
    <hyperlink ref="D4757" r:id="rId_hyperlink_4231"/>
    <hyperlink ref="D4758" r:id="rId_hyperlink_4232"/>
    <hyperlink ref="D4759" r:id="rId_hyperlink_4233"/>
    <hyperlink ref="D4760" r:id="rId_hyperlink_4234"/>
    <hyperlink ref="D4761" r:id="rId_hyperlink_4235"/>
    <hyperlink ref="D4762" r:id="rId_hyperlink_4236"/>
    <hyperlink ref="D4763" r:id="rId_hyperlink_4237"/>
    <hyperlink ref="D4765" r:id="rId_hyperlink_4238"/>
    <hyperlink ref="D4766" r:id="rId_hyperlink_4239"/>
    <hyperlink ref="D4767" r:id="rId_hyperlink_4240"/>
    <hyperlink ref="D4769" r:id="rId_hyperlink_4241"/>
    <hyperlink ref="D4770" r:id="rId_hyperlink_4242"/>
    <hyperlink ref="D4771" r:id="rId_hyperlink_4243"/>
    <hyperlink ref="D4774" r:id="rId_hyperlink_4244"/>
    <hyperlink ref="D4775" r:id="rId_hyperlink_4245"/>
    <hyperlink ref="D4776" r:id="rId_hyperlink_4246"/>
    <hyperlink ref="D4777" r:id="rId_hyperlink_4247"/>
    <hyperlink ref="D4778" r:id="rId_hyperlink_4248"/>
    <hyperlink ref="D4779" r:id="rId_hyperlink_4249"/>
    <hyperlink ref="D4780" r:id="rId_hyperlink_4250"/>
    <hyperlink ref="D4781" r:id="rId_hyperlink_4251"/>
    <hyperlink ref="D4782" r:id="rId_hyperlink_4252"/>
    <hyperlink ref="D4785" r:id="rId_hyperlink_4253"/>
    <hyperlink ref="D4786" r:id="rId_hyperlink_4254"/>
    <hyperlink ref="D4787" r:id="rId_hyperlink_4255"/>
    <hyperlink ref="D4788" r:id="rId_hyperlink_4256"/>
    <hyperlink ref="D4789" r:id="rId_hyperlink_4257"/>
    <hyperlink ref="D4790" r:id="rId_hyperlink_4258"/>
    <hyperlink ref="D4791" r:id="rId_hyperlink_4259"/>
    <hyperlink ref="D4792" r:id="rId_hyperlink_4260"/>
    <hyperlink ref="D4793" r:id="rId_hyperlink_4261"/>
    <hyperlink ref="D4794" r:id="rId_hyperlink_4262"/>
    <hyperlink ref="D4795" r:id="rId_hyperlink_4263"/>
    <hyperlink ref="D4796" r:id="rId_hyperlink_4264"/>
    <hyperlink ref="D4797" r:id="rId_hyperlink_4265"/>
    <hyperlink ref="D4798" r:id="rId_hyperlink_4266"/>
    <hyperlink ref="D4799" r:id="rId_hyperlink_4267"/>
    <hyperlink ref="D4800" r:id="rId_hyperlink_4268"/>
    <hyperlink ref="D4801" r:id="rId_hyperlink_4269"/>
    <hyperlink ref="D4802" r:id="rId_hyperlink_4270"/>
    <hyperlink ref="D4803" r:id="rId_hyperlink_4271"/>
    <hyperlink ref="D4804" r:id="rId_hyperlink_4272"/>
    <hyperlink ref="D4805" r:id="rId_hyperlink_4273"/>
    <hyperlink ref="D4806" r:id="rId_hyperlink_4274"/>
    <hyperlink ref="D4807" r:id="rId_hyperlink_4275"/>
    <hyperlink ref="D4808" r:id="rId_hyperlink_4276"/>
    <hyperlink ref="D4809" r:id="rId_hyperlink_4277"/>
    <hyperlink ref="D4810" r:id="rId_hyperlink_4278"/>
    <hyperlink ref="D4811" r:id="rId_hyperlink_4279"/>
    <hyperlink ref="D4812" r:id="rId_hyperlink_4280"/>
    <hyperlink ref="D4813" r:id="rId_hyperlink_4281"/>
    <hyperlink ref="D4814" r:id="rId_hyperlink_4282"/>
    <hyperlink ref="D4815" r:id="rId_hyperlink_4283"/>
    <hyperlink ref="D4816" r:id="rId_hyperlink_4284"/>
    <hyperlink ref="D4817" r:id="rId_hyperlink_4285"/>
    <hyperlink ref="D4818" r:id="rId_hyperlink_4286"/>
    <hyperlink ref="D4819" r:id="rId_hyperlink_4287"/>
    <hyperlink ref="D4820" r:id="rId_hyperlink_4288"/>
    <hyperlink ref="D4821" r:id="rId_hyperlink_4289"/>
    <hyperlink ref="D4822" r:id="rId_hyperlink_4290"/>
    <hyperlink ref="D4823" r:id="rId_hyperlink_4291"/>
    <hyperlink ref="D4824" r:id="rId_hyperlink_4292"/>
    <hyperlink ref="D4825" r:id="rId_hyperlink_4293"/>
    <hyperlink ref="D4826" r:id="rId_hyperlink_4294"/>
    <hyperlink ref="D4827" r:id="rId_hyperlink_4295"/>
    <hyperlink ref="D4828" r:id="rId_hyperlink_4296"/>
    <hyperlink ref="D4829" r:id="rId_hyperlink_4297"/>
    <hyperlink ref="D4830" r:id="rId_hyperlink_4298"/>
    <hyperlink ref="D4831" r:id="rId_hyperlink_4299"/>
    <hyperlink ref="D4832" r:id="rId_hyperlink_4300"/>
    <hyperlink ref="D4833" r:id="rId_hyperlink_4301"/>
    <hyperlink ref="D4834" r:id="rId_hyperlink_4302"/>
    <hyperlink ref="D4835" r:id="rId_hyperlink_4303"/>
    <hyperlink ref="D4836" r:id="rId_hyperlink_4304"/>
    <hyperlink ref="D4837" r:id="rId_hyperlink_4305"/>
    <hyperlink ref="D4838" r:id="rId_hyperlink_4306"/>
    <hyperlink ref="D4839" r:id="rId_hyperlink_4307"/>
    <hyperlink ref="D4840" r:id="rId_hyperlink_4308"/>
    <hyperlink ref="D4841" r:id="rId_hyperlink_4309"/>
    <hyperlink ref="D4842" r:id="rId_hyperlink_4310"/>
    <hyperlink ref="D4843" r:id="rId_hyperlink_4311"/>
    <hyperlink ref="D4844" r:id="rId_hyperlink_4312"/>
    <hyperlink ref="D4845" r:id="rId_hyperlink_4313"/>
    <hyperlink ref="D4846" r:id="rId_hyperlink_4314"/>
    <hyperlink ref="D4847" r:id="rId_hyperlink_4315"/>
    <hyperlink ref="D4848" r:id="rId_hyperlink_4316"/>
    <hyperlink ref="D4849" r:id="rId_hyperlink_4317"/>
    <hyperlink ref="D4850" r:id="rId_hyperlink_4318"/>
    <hyperlink ref="D4851" r:id="rId_hyperlink_4319"/>
    <hyperlink ref="D4853" r:id="rId_hyperlink_4320"/>
    <hyperlink ref="D4854" r:id="rId_hyperlink_4321"/>
    <hyperlink ref="D4855" r:id="rId_hyperlink_4322"/>
    <hyperlink ref="D4856" r:id="rId_hyperlink_4323"/>
    <hyperlink ref="D4857" r:id="rId_hyperlink_4324"/>
    <hyperlink ref="D4858" r:id="rId_hyperlink_4325"/>
    <hyperlink ref="D4859" r:id="rId_hyperlink_4326"/>
    <hyperlink ref="D4860" r:id="rId_hyperlink_4327"/>
    <hyperlink ref="D4861" r:id="rId_hyperlink_4328"/>
    <hyperlink ref="D4862" r:id="rId_hyperlink_4329"/>
    <hyperlink ref="D4863" r:id="rId_hyperlink_4330"/>
    <hyperlink ref="D4864" r:id="rId_hyperlink_4331"/>
    <hyperlink ref="D4865" r:id="rId_hyperlink_4332"/>
    <hyperlink ref="D4866" r:id="rId_hyperlink_4333"/>
    <hyperlink ref="D4867" r:id="rId_hyperlink_4334"/>
    <hyperlink ref="D4868" r:id="rId_hyperlink_4335"/>
    <hyperlink ref="D4869" r:id="rId_hyperlink_4336"/>
    <hyperlink ref="D4870" r:id="rId_hyperlink_4337"/>
    <hyperlink ref="D4871" r:id="rId_hyperlink_4338"/>
    <hyperlink ref="D4872" r:id="rId_hyperlink_4339"/>
    <hyperlink ref="D4873" r:id="rId_hyperlink_4340"/>
    <hyperlink ref="D4874" r:id="rId_hyperlink_4341"/>
    <hyperlink ref="D4875" r:id="rId_hyperlink_4342"/>
    <hyperlink ref="D4876" r:id="rId_hyperlink_4343"/>
    <hyperlink ref="D4877" r:id="rId_hyperlink_4344"/>
    <hyperlink ref="D4878" r:id="rId_hyperlink_4345"/>
    <hyperlink ref="D4879" r:id="rId_hyperlink_4346"/>
    <hyperlink ref="D4880" r:id="rId_hyperlink_4347"/>
    <hyperlink ref="D4881" r:id="rId_hyperlink_4348"/>
    <hyperlink ref="D4882" r:id="rId_hyperlink_4349"/>
    <hyperlink ref="D4883" r:id="rId_hyperlink_4350"/>
    <hyperlink ref="D4884" r:id="rId_hyperlink_4351"/>
    <hyperlink ref="D4885" r:id="rId_hyperlink_4352"/>
    <hyperlink ref="D4886" r:id="rId_hyperlink_4353"/>
    <hyperlink ref="D4887" r:id="rId_hyperlink_4354"/>
    <hyperlink ref="D4888" r:id="rId_hyperlink_4355"/>
    <hyperlink ref="D4889" r:id="rId_hyperlink_4356"/>
    <hyperlink ref="D4890" r:id="rId_hyperlink_4357"/>
    <hyperlink ref="D4891" r:id="rId_hyperlink_4358"/>
    <hyperlink ref="D4892" r:id="rId_hyperlink_4359"/>
    <hyperlink ref="D4893" r:id="rId_hyperlink_4360"/>
    <hyperlink ref="D4894" r:id="rId_hyperlink_4361"/>
    <hyperlink ref="D4895" r:id="rId_hyperlink_4362"/>
    <hyperlink ref="D4896" r:id="rId_hyperlink_4363"/>
    <hyperlink ref="D4897" r:id="rId_hyperlink_4364"/>
    <hyperlink ref="D4899" r:id="rId_hyperlink_4365"/>
    <hyperlink ref="D4900" r:id="rId_hyperlink_4366"/>
    <hyperlink ref="D4901" r:id="rId_hyperlink_4367"/>
    <hyperlink ref="D4902" r:id="rId_hyperlink_4368"/>
    <hyperlink ref="D4903" r:id="rId_hyperlink_4369"/>
    <hyperlink ref="D4904" r:id="rId_hyperlink_4370"/>
    <hyperlink ref="D4905" r:id="rId_hyperlink_4371"/>
    <hyperlink ref="D4906" r:id="rId_hyperlink_4372"/>
    <hyperlink ref="D4907" r:id="rId_hyperlink_4373"/>
    <hyperlink ref="D4908" r:id="rId_hyperlink_4374"/>
    <hyperlink ref="D4909" r:id="rId_hyperlink_4375"/>
    <hyperlink ref="D4910" r:id="rId_hyperlink_4376"/>
    <hyperlink ref="D4911" r:id="rId_hyperlink_4377"/>
    <hyperlink ref="D4912" r:id="rId_hyperlink_4378"/>
    <hyperlink ref="D4913" r:id="rId_hyperlink_4379"/>
    <hyperlink ref="D4914" r:id="rId_hyperlink_4380"/>
    <hyperlink ref="D4915" r:id="rId_hyperlink_4381"/>
    <hyperlink ref="D4916" r:id="rId_hyperlink_4382"/>
    <hyperlink ref="D4917" r:id="rId_hyperlink_4383"/>
    <hyperlink ref="D4918" r:id="rId_hyperlink_4384"/>
    <hyperlink ref="D4919" r:id="rId_hyperlink_4385"/>
    <hyperlink ref="D4920" r:id="rId_hyperlink_4386"/>
    <hyperlink ref="D4921" r:id="rId_hyperlink_4387"/>
    <hyperlink ref="D4922" r:id="rId_hyperlink_4388"/>
    <hyperlink ref="D4923" r:id="rId_hyperlink_4389"/>
    <hyperlink ref="D4924" r:id="rId_hyperlink_4390"/>
    <hyperlink ref="D4925" r:id="rId_hyperlink_4391"/>
    <hyperlink ref="D4926" r:id="rId_hyperlink_4392"/>
    <hyperlink ref="D4927" r:id="rId_hyperlink_4393"/>
    <hyperlink ref="D4928" r:id="rId_hyperlink_4394"/>
    <hyperlink ref="D4929" r:id="rId_hyperlink_4395"/>
    <hyperlink ref="D4930" r:id="rId_hyperlink_4396"/>
    <hyperlink ref="D4931" r:id="rId_hyperlink_4397"/>
    <hyperlink ref="D4932" r:id="rId_hyperlink_4398"/>
    <hyperlink ref="D4933" r:id="rId_hyperlink_4399"/>
    <hyperlink ref="D4934" r:id="rId_hyperlink_4400"/>
    <hyperlink ref="D4935" r:id="rId_hyperlink_4401"/>
    <hyperlink ref="D4936" r:id="rId_hyperlink_4402"/>
    <hyperlink ref="D4937" r:id="rId_hyperlink_4403"/>
    <hyperlink ref="D4938" r:id="rId_hyperlink_4404"/>
    <hyperlink ref="D4939" r:id="rId_hyperlink_4405"/>
    <hyperlink ref="D4940" r:id="rId_hyperlink_4406"/>
    <hyperlink ref="D4941" r:id="rId_hyperlink_4407"/>
    <hyperlink ref="D4942" r:id="rId_hyperlink_4408"/>
    <hyperlink ref="D4943" r:id="rId_hyperlink_4409"/>
    <hyperlink ref="D4944" r:id="rId_hyperlink_4410"/>
    <hyperlink ref="D4945" r:id="rId_hyperlink_4411"/>
    <hyperlink ref="D4946" r:id="rId_hyperlink_4412"/>
    <hyperlink ref="D4947" r:id="rId_hyperlink_4413"/>
    <hyperlink ref="D4948" r:id="rId_hyperlink_4414"/>
    <hyperlink ref="D4949" r:id="rId_hyperlink_4415"/>
    <hyperlink ref="D4950" r:id="rId_hyperlink_4416"/>
    <hyperlink ref="D4951" r:id="rId_hyperlink_4417"/>
    <hyperlink ref="D4952" r:id="rId_hyperlink_4418"/>
    <hyperlink ref="D4953" r:id="rId_hyperlink_4419"/>
    <hyperlink ref="D4954" r:id="rId_hyperlink_4420"/>
    <hyperlink ref="D4955" r:id="rId_hyperlink_4421"/>
    <hyperlink ref="D4956" r:id="rId_hyperlink_4422"/>
    <hyperlink ref="D4957" r:id="rId_hyperlink_4423"/>
    <hyperlink ref="D4958" r:id="rId_hyperlink_4424"/>
    <hyperlink ref="D4959" r:id="rId_hyperlink_4425"/>
    <hyperlink ref="D4960" r:id="rId_hyperlink_4426"/>
    <hyperlink ref="D4961" r:id="rId_hyperlink_4427"/>
    <hyperlink ref="D4962" r:id="rId_hyperlink_4428"/>
    <hyperlink ref="D4963" r:id="rId_hyperlink_4429"/>
    <hyperlink ref="D4964" r:id="rId_hyperlink_4430"/>
    <hyperlink ref="D4965" r:id="rId_hyperlink_4431"/>
    <hyperlink ref="D4966" r:id="rId_hyperlink_4432"/>
    <hyperlink ref="D4967" r:id="rId_hyperlink_4433"/>
    <hyperlink ref="D4968" r:id="rId_hyperlink_4434"/>
    <hyperlink ref="D4969" r:id="rId_hyperlink_4435"/>
    <hyperlink ref="D4970" r:id="rId_hyperlink_4436"/>
    <hyperlink ref="D4971" r:id="rId_hyperlink_4437"/>
    <hyperlink ref="D4972" r:id="rId_hyperlink_4438"/>
    <hyperlink ref="D4973" r:id="rId_hyperlink_4439"/>
    <hyperlink ref="D4974" r:id="rId_hyperlink_4440"/>
    <hyperlink ref="D4975" r:id="rId_hyperlink_4441"/>
    <hyperlink ref="D4976" r:id="rId_hyperlink_4442"/>
    <hyperlink ref="D4977" r:id="rId_hyperlink_4443"/>
    <hyperlink ref="D4978" r:id="rId_hyperlink_4444"/>
    <hyperlink ref="D4979" r:id="rId_hyperlink_4445"/>
    <hyperlink ref="D4980" r:id="rId_hyperlink_4446"/>
    <hyperlink ref="D4981" r:id="rId_hyperlink_4447"/>
    <hyperlink ref="D4982" r:id="rId_hyperlink_4448"/>
    <hyperlink ref="D4983" r:id="rId_hyperlink_4449"/>
    <hyperlink ref="D4984" r:id="rId_hyperlink_4450"/>
    <hyperlink ref="D4985" r:id="rId_hyperlink_4451"/>
    <hyperlink ref="D4986" r:id="rId_hyperlink_4452"/>
    <hyperlink ref="D4987" r:id="rId_hyperlink_4453"/>
    <hyperlink ref="D4988" r:id="rId_hyperlink_4454"/>
    <hyperlink ref="D4989" r:id="rId_hyperlink_4455"/>
    <hyperlink ref="D4990" r:id="rId_hyperlink_4456"/>
    <hyperlink ref="D4991" r:id="rId_hyperlink_4457"/>
    <hyperlink ref="D4992" r:id="rId_hyperlink_4458"/>
    <hyperlink ref="D4993" r:id="rId_hyperlink_4459"/>
    <hyperlink ref="D4994" r:id="rId_hyperlink_4460"/>
    <hyperlink ref="D4995" r:id="rId_hyperlink_4461"/>
    <hyperlink ref="D4996" r:id="rId_hyperlink_4462"/>
    <hyperlink ref="D4997" r:id="rId_hyperlink_4463"/>
    <hyperlink ref="D4998" r:id="rId_hyperlink_4464"/>
    <hyperlink ref="D4999" r:id="rId_hyperlink_4465"/>
    <hyperlink ref="D5000" r:id="rId_hyperlink_4466"/>
    <hyperlink ref="D5001" r:id="rId_hyperlink_4467"/>
    <hyperlink ref="D5002" r:id="rId_hyperlink_4468"/>
    <hyperlink ref="D5003" r:id="rId_hyperlink_4469"/>
    <hyperlink ref="D5004" r:id="rId_hyperlink_4470"/>
    <hyperlink ref="D5005" r:id="rId_hyperlink_4471"/>
    <hyperlink ref="D5006" r:id="rId_hyperlink_4472"/>
    <hyperlink ref="D5007" r:id="rId_hyperlink_4473"/>
    <hyperlink ref="D5008" r:id="rId_hyperlink_4474"/>
    <hyperlink ref="D5009" r:id="rId_hyperlink_4475"/>
    <hyperlink ref="D5010" r:id="rId_hyperlink_4476"/>
    <hyperlink ref="D5011" r:id="rId_hyperlink_4477"/>
    <hyperlink ref="D5012" r:id="rId_hyperlink_4478"/>
    <hyperlink ref="D5013" r:id="rId_hyperlink_4479"/>
    <hyperlink ref="D5014" r:id="rId_hyperlink_4480"/>
    <hyperlink ref="D5015" r:id="rId_hyperlink_4481"/>
    <hyperlink ref="D5016" r:id="rId_hyperlink_4482"/>
    <hyperlink ref="D5017" r:id="rId_hyperlink_4483"/>
    <hyperlink ref="D5018" r:id="rId_hyperlink_4484"/>
    <hyperlink ref="D5019" r:id="rId_hyperlink_4485"/>
    <hyperlink ref="D5020" r:id="rId_hyperlink_4486"/>
    <hyperlink ref="D5021" r:id="rId_hyperlink_4487"/>
    <hyperlink ref="D5022" r:id="rId_hyperlink_4488"/>
    <hyperlink ref="D5023" r:id="rId_hyperlink_4489"/>
    <hyperlink ref="D5024" r:id="rId_hyperlink_4490"/>
    <hyperlink ref="D5026" r:id="rId_hyperlink_4491"/>
    <hyperlink ref="D5027" r:id="rId_hyperlink_4492"/>
    <hyperlink ref="D5028" r:id="rId_hyperlink_4493"/>
    <hyperlink ref="D5029" r:id="rId_hyperlink_4494"/>
    <hyperlink ref="D5031" r:id="rId_hyperlink_4495"/>
    <hyperlink ref="D5032" r:id="rId_hyperlink_4496"/>
    <hyperlink ref="D5033" r:id="rId_hyperlink_4497"/>
    <hyperlink ref="D5034" r:id="rId_hyperlink_4498"/>
    <hyperlink ref="D5035" r:id="rId_hyperlink_4499"/>
    <hyperlink ref="D5036" r:id="rId_hyperlink_4500"/>
    <hyperlink ref="D5037" r:id="rId_hyperlink_4501"/>
    <hyperlink ref="D5038" r:id="rId_hyperlink_4502"/>
    <hyperlink ref="D5039" r:id="rId_hyperlink_4503"/>
    <hyperlink ref="D5042" r:id="rId_hyperlink_4504"/>
    <hyperlink ref="D5043" r:id="rId_hyperlink_4505"/>
    <hyperlink ref="D5044" r:id="rId_hyperlink_4506"/>
    <hyperlink ref="D5045" r:id="rId_hyperlink_4507"/>
    <hyperlink ref="D5047" r:id="rId_hyperlink_4508"/>
    <hyperlink ref="D5048" r:id="rId_hyperlink_4509"/>
    <hyperlink ref="D5049" r:id="rId_hyperlink_4510"/>
    <hyperlink ref="D5050" r:id="rId_hyperlink_4511"/>
    <hyperlink ref="D5051" r:id="rId_hyperlink_4512"/>
    <hyperlink ref="D5052" r:id="rId_hyperlink_4513"/>
    <hyperlink ref="D5053" r:id="rId_hyperlink_4514"/>
    <hyperlink ref="D5054" r:id="rId_hyperlink_4515"/>
    <hyperlink ref="D5055" r:id="rId_hyperlink_4516"/>
    <hyperlink ref="D5056" r:id="rId_hyperlink_4517"/>
    <hyperlink ref="D5057" r:id="rId_hyperlink_4518"/>
    <hyperlink ref="D5058" r:id="rId_hyperlink_4519"/>
    <hyperlink ref="D5059" r:id="rId_hyperlink_4520"/>
    <hyperlink ref="D5060" r:id="rId_hyperlink_4521"/>
    <hyperlink ref="D5061" r:id="rId_hyperlink_4522"/>
    <hyperlink ref="D5062" r:id="rId_hyperlink_4523"/>
    <hyperlink ref="D5064" r:id="rId_hyperlink_4524"/>
    <hyperlink ref="D5067" r:id="rId_hyperlink_4525"/>
    <hyperlink ref="D5068" r:id="rId_hyperlink_4526"/>
    <hyperlink ref="D5069" r:id="rId_hyperlink_4527"/>
    <hyperlink ref="D5070" r:id="rId_hyperlink_4528"/>
    <hyperlink ref="D5071" r:id="rId_hyperlink_4529"/>
    <hyperlink ref="D5072" r:id="rId_hyperlink_4530"/>
    <hyperlink ref="D5073" r:id="rId_hyperlink_4531"/>
    <hyperlink ref="D5074" r:id="rId_hyperlink_4532"/>
    <hyperlink ref="D5075" r:id="rId_hyperlink_4533"/>
    <hyperlink ref="D5076" r:id="rId_hyperlink_4534"/>
    <hyperlink ref="D5077" r:id="rId_hyperlink_4535"/>
    <hyperlink ref="D5078" r:id="rId_hyperlink_4536"/>
    <hyperlink ref="D5079" r:id="rId_hyperlink_4537"/>
    <hyperlink ref="D5080" r:id="rId_hyperlink_4538"/>
    <hyperlink ref="D5081" r:id="rId_hyperlink_4539"/>
    <hyperlink ref="D5082" r:id="rId_hyperlink_4540"/>
    <hyperlink ref="D5083" r:id="rId_hyperlink_4541"/>
    <hyperlink ref="D5084" r:id="rId_hyperlink_4542"/>
    <hyperlink ref="D5085" r:id="rId_hyperlink_4543"/>
    <hyperlink ref="D5086" r:id="rId_hyperlink_4544"/>
    <hyperlink ref="D5087" r:id="rId_hyperlink_4545"/>
    <hyperlink ref="D5088" r:id="rId_hyperlink_4546"/>
    <hyperlink ref="D5089" r:id="rId_hyperlink_4547"/>
    <hyperlink ref="D5090" r:id="rId_hyperlink_4548"/>
    <hyperlink ref="D5091" r:id="rId_hyperlink_4549"/>
    <hyperlink ref="D5092" r:id="rId_hyperlink_4550"/>
    <hyperlink ref="D5093" r:id="rId_hyperlink_4551"/>
    <hyperlink ref="D5094" r:id="rId_hyperlink_4552"/>
    <hyperlink ref="D5095" r:id="rId_hyperlink_4553"/>
    <hyperlink ref="D5096" r:id="rId_hyperlink_4554"/>
    <hyperlink ref="D5097" r:id="rId_hyperlink_4555"/>
    <hyperlink ref="D5098" r:id="rId_hyperlink_4556"/>
    <hyperlink ref="D5099" r:id="rId_hyperlink_4557"/>
    <hyperlink ref="D5100" r:id="rId_hyperlink_4558"/>
    <hyperlink ref="D5101" r:id="rId_hyperlink_4559"/>
    <hyperlink ref="D5102" r:id="rId_hyperlink_4560"/>
    <hyperlink ref="D5103" r:id="rId_hyperlink_4561"/>
    <hyperlink ref="D5104" r:id="rId_hyperlink_4562"/>
    <hyperlink ref="D5105" r:id="rId_hyperlink_4563"/>
    <hyperlink ref="D5106" r:id="rId_hyperlink_4564"/>
    <hyperlink ref="D5107" r:id="rId_hyperlink_4565"/>
    <hyperlink ref="D5108" r:id="rId_hyperlink_4566"/>
    <hyperlink ref="D5109" r:id="rId_hyperlink_4567"/>
    <hyperlink ref="D5110" r:id="rId_hyperlink_4568"/>
    <hyperlink ref="D5111" r:id="rId_hyperlink_4569"/>
    <hyperlink ref="D5112" r:id="rId_hyperlink_4570"/>
    <hyperlink ref="D5113" r:id="rId_hyperlink_4571"/>
    <hyperlink ref="D5114" r:id="rId_hyperlink_4572"/>
    <hyperlink ref="D5115" r:id="rId_hyperlink_4573"/>
    <hyperlink ref="D5116" r:id="rId_hyperlink_4574"/>
    <hyperlink ref="D5117" r:id="rId_hyperlink_4575"/>
    <hyperlink ref="D5118" r:id="rId_hyperlink_4576"/>
    <hyperlink ref="D5119" r:id="rId_hyperlink_4577"/>
    <hyperlink ref="D5120" r:id="rId_hyperlink_4578"/>
    <hyperlink ref="D5121" r:id="rId_hyperlink_4579"/>
    <hyperlink ref="D5122" r:id="rId_hyperlink_4580"/>
    <hyperlink ref="D5123" r:id="rId_hyperlink_4581"/>
    <hyperlink ref="D5124" r:id="rId_hyperlink_4582"/>
    <hyperlink ref="D5125" r:id="rId_hyperlink_4583"/>
    <hyperlink ref="D5126" r:id="rId_hyperlink_4584"/>
    <hyperlink ref="D5127" r:id="rId_hyperlink_4585"/>
    <hyperlink ref="D5128" r:id="rId_hyperlink_4586"/>
    <hyperlink ref="D5129" r:id="rId_hyperlink_4587"/>
    <hyperlink ref="D5130" r:id="rId_hyperlink_4588"/>
    <hyperlink ref="D5131" r:id="rId_hyperlink_4589"/>
    <hyperlink ref="D5132" r:id="rId_hyperlink_4590"/>
    <hyperlink ref="D5133" r:id="rId_hyperlink_4591"/>
    <hyperlink ref="D5134" r:id="rId_hyperlink_4592"/>
    <hyperlink ref="D5135" r:id="rId_hyperlink_4593"/>
    <hyperlink ref="D5136" r:id="rId_hyperlink_4594"/>
    <hyperlink ref="D5137" r:id="rId_hyperlink_4595"/>
    <hyperlink ref="D5138" r:id="rId_hyperlink_4596"/>
    <hyperlink ref="D5139" r:id="rId_hyperlink_4597"/>
    <hyperlink ref="D5140" r:id="rId_hyperlink_4598"/>
    <hyperlink ref="D5141" r:id="rId_hyperlink_4599"/>
    <hyperlink ref="D5142" r:id="rId_hyperlink_4600"/>
    <hyperlink ref="D5143" r:id="rId_hyperlink_4601"/>
    <hyperlink ref="D5144" r:id="rId_hyperlink_4602"/>
    <hyperlink ref="D5145" r:id="rId_hyperlink_4603"/>
    <hyperlink ref="D5146" r:id="rId_hyperlink_4604"/>
    <hyperlink ref="D5147" r:id="rId_hyperlink_4605"/>
    <hyperlink ref="D5148" r:id="rId_hyperlink_4606"/>
    <hyperlink ref="D5149" r:id="rId_hyperlink_4607"/>
    <hyperlink ref="D5150" r:id="rId_hyperlink_4608"/>
    <hyperlink ref="D5151" r:id="rId_hyperlink_4609"/>
    <hyperlink ref="D5152" r:id="rId_hyperlink_4610"/>
    <hyperlink ref="D5153" r:id="rId_hyperlink_4611"/>
    <hyperlink ref="D5154" r:id="rId_hyperlink_4612"/>
    <hyperlink ref="D5155" r:id="rId_hyperlink_4613"/>
    <hyperlink ref="D5156" r:id="rId_hyperlink_4614"/>
    <hyperlink ref="D5157" r:id="rId_hyperlink_4615"/>
    <hyperlink ref="D5158" r:id="rId_hyperlink_4616"/>
    <hyperlink ref="D5159" r:id="rId_hyperlink_4617"/>
    <hyperlink ref="D5160" r:id="rId_hyperlink_4618"/>
    <hyperlink ref="D5161" r:id="rId_hyperlink_4619"/>
    <hyperlink ref="D5162" r:id="rId_hyperlink_4620"/>
    <hyperlink ref="D5163" r:id="rId_hyperlink_4621"/>
    <hyperlink ref="D5164" r:id="rId_hyperlink_4622"/>
    <hyperlink ref="D5165" r:id="rId_hyperlink_4623"/>
    <hyperlink ref="D5166" r:id="rId_hyperlink_4624"/>
    <hyperlink ref="D5167" r:id="rId_hyperlink_4625"/>
    <hyperlink ref="D5168" r:id="rId_hyperlink_4626"/>
    <hyperlink ref="D5169" r:id="rId_hyperlink_4627"/>
    <hyperlink ref="D5170" r:id="rId_hyperlink_4628"/>
    <hyperlink ref="D5171" r:id="rId_hyperlink_4629"/>
    <hyperlink ref="D5172" r:id="rId_hyperlink_4630"/>
    <hyperlink ref="D5173" r:id="rId_hyperlink_4631"/>
    <hyperlink ref="D5174" r:id="rId_hyperlink_4632"/>
    <hyperlink ref="D5175" r:id="rId_hyperlink_4633"/>
    <hyperlink ref="D5176" r:id="rId_hyperlink_4634"/>
    <hyperlink ref="D5177" r:id="rId_hyperlink_4635"/>
    <hyperlink ref="D5178" r:id="rId_hyperlink_4636"/>
    <hyperlink ref="D5179" r:id="rId_hyperlink_4637"/>
    <hyperlink ref="D5180" r:id="rId_hyperlink_4638"/>
    <hyperlink ref="D5181" r:id="rId_hyperlink_4639"/>
    <hyperlink ref="D5182" r:id="rId_hyperlink_4640"/>
    <hyperlink ref="D5183" r:id="rId_hyperlink_4641"/>
    <hyperlink ref="D5184" r:id="rId_hyperlink_4642"/>
    <hyperlink ref="D5185" r:id="rId_hyperlink_4643"/>
    <hyperlink ref="D5186" r:id="rId_hyperlink_4644"/>
    <hyperlink ref="D5187" r:id="rId_hyperlink_4645"/>
    <hyperlink ref="D5188" r:id="rId_hyperlink_4646"/>
    <hyperlink ref="D5189" r:id="rId_hyperlink_4647"/>
    <hyperlink ref="D5190" r:id="rId_hyperlink_4648"/>
    <hyperlink ref="D5191" r:id="rId_hyperlink_4649"/>
    <hyperlink ref="D5192" r:id="rId_hyperlink_4650"/>
    <hyperlink ref="D5193" r:id="rId_hyperlink_4651"/>
    <hyperlink ref="D5194" r:id="rId_hyperlink_4652"/>
    <hyperlink ref="D5195" r:id="rId_hyperlink_4653"/>
    <hyperlink ref="D5196" r:id="rId_hyperlink_4654"/>
    <hyperlink ref="D5197" r:id="rId_hyperlink_4655"/>
    <hyperlink ref="D5198" r:id="rId_hyperlink_4656"/>
    <hyperlink ref="D5199" r:id="rId_hyperlink_4657"/>
    <hyperlink ref="D5200" r:id="rId_hyperlink_4658"/>
    <hyperlink ref="D5201" r:id="rId_hyperlink_4659"/>
    <hyperlink ref="D5202" r:id="rId_hyperlink_4660"/>
    <hyperlink ref="D5203" r:id="rId_hyperlink_4661"/>
    <hyperlink ref="D5204" r:id="rId_hyperlink_4662"/>
    <hyperlink ref="D5205" r:id="rId_hyperlink_4663"/>
    <hyperlink ref="D5206" r:id="rId_hyperlink_4664"/>
    <hyperlink ref="D5207" r:id="rId_hyperlink_4665"/>
    <hyperlink ref="D5208" r:id="rId_hyperlink_4666"/>
    <hyperlink ref="D5209" r:id="rId_hyperlink_4667"/>
    <hyperlink ref="D5210" r:id="rId_hyperlink_4668"/>
    <hyperlink ref="D5211" r:id="rId_hyperlink_4669"/>
    <hyperlink ref="D5212" r:id="rId_hyperlink_4670"/>
    <hyperlink ref="D5213" r:id="rId_hyperlink_4671"/>
    <hyperlink ref="D5214" r:id="rId_hyperlink_4672"/>
    <hyperlink ref="D5215" r:id="rId_hyperlink_4673"/>
    <hyperlink ref="D5216" r:id="rId_hyperlink_4674"/>
    <hyperlink ref="D5217" r:id="rId_hyperlink_4675"/>
    <hyperlink ref="D5218" r:id="rId_hyperlink_4676"/>
    <hyperlink ref="D5219" r:id="rId_hyperlink_4677"/>
    <hyperlink ref="D5220" r:id="rId_hyperlink_4678"/>
    <hyperlink ref="D5221" r:id="rId_hyperlink_4679"/>
    <hyperlink ref="D5222" r:id="rId_hyperlink_4680"/>
    <hyperlink ref="D5223" r:id="rId_hyperlink_4681"/>
    <hyperlink ref="D5224" r:id="rId_hyperlink_4682"/>
    <hyperlink ref="D5225" r:id="rId_hyperlink_4683"/>
    <hyperlink ref="D5226" r:id="rId_hyperlink_4684"/>
    <hyperlink ref="D5227" r:id="rId_hyperlink_4685"/>
    <hyperlink ref="D5228" r:id="rId_hyperlink_4686"/>
    <hyperlink ref="D5229" r:id="rId_hyperlink_4687"/>
    <hyperlink ref="D5230" r:id="rId_hyperlink_4688"/>
    <hyperlink ref="D5231" r:id="rId_hyperlink_4689"/>
    <hyperlink ref="D5232" r:id="rId_hyperlink_4690"/>
    <hyperlink ref="D5233" r:id="rId_hyperlink_4691"/>
    <hyperlink ref="D5234" r:id="rId_hyperlink_4692"/>
    <hyperlink ref="D5235" r:id="rId_hyperlink_4693"/>
    <hyperlink ref="D5236" r:id="rId_hyperlink_4694"/>
    <hyperlink ref="D5237" r:id="rId_hyperlink_4695"/>
    <hyperlink ref="D5238" r:id="rId_hyperlink_4696"/>
    <hyperlink ref="D5239" r:id="rId_hyperlink_4697"/>
    <hyperlink ref="D5240" r:id="rId_hyperlink_4698"/>
    <hyperlink ref="D5241" r:id="rId_hyperlink_4699"/>
    <hyperlink ref="D5242" r:id="rId_hyperlink_4700"/>
    <hyperlink ref="D5243" r:id="rId_hyperlink_4701"/>
    <hyperlink ref="D5244" r:id="rId_hyperlink_4702"/>
    <hyperlink ref="D5245" r:id="rId_hyperlink_4703"/>
    <hyperlink ref="D5246" r:id="rId_hyperlink_4704"/>
    <hyperlink ref="D5247" r:id="rId_hyperlink_4705"/>
    <hyperlink ref="D5248" r:id="rId_hyperlink_4706"/>
    <hyperlink ref="D5249" r:id="rId_hyperlink_4707"/>
    <hyperlink ref="D5250" r:id="rId_hyperlink_4708"/>
    <hyperlink ref="D5251" r:id="rId_hyperlink_4709"/>
    <hyperlink ref="D5252" r:id="rId_hyperlink_4710"/>
    <hyperlink ref="D5253" r:id="rId_hyperlink_4711"/>
    <hyperlink ref="D5254" r:id="rId_hyperlink_4712"/>
    <hyperlink ref="D5255" r:id="rId_hyperlink_4713"/>
    <hyperlink ref="D5256" r:id="rId_hyperlink_4714"/>
    <hyperlink ref="D5257" r:id="rId_hyperlink_4715"/>
    <hyperlink ref="D5258" r:id="rId_hyperlink_4716"/>
    <hyperlink ref="D5259" r:id="rId_hyperlink_4717"/>
    <hyperlink ref="D5260" r:id="rId_hyperlink_4718"/>
    <hyperlink ref="D5261" r:id="rId_hyperlink_4719"/>
    <hyperlink ref="D5262" r:id="rId_hyperlink_4720"/>
    <hyperlink ref="D5263" r:id="rId_hyperlink_4721"/>
    <hyperlink ref="D5264" r:id="rId_hyperlink_4722"/>
    <hyperlink ref="D5265" r:id="rId_hyperlink_4723"/>
    <hyperlink ref="D5266" r:id="rId_hyperlink_4724"/>
    <hyperlink ref="D5267" r:id="rId_hyperlink_4725"/>
    <hyperlink ref="D5268" r:id="rId_hyperlink_4726"/>
    <hyperlink ref="D5269" r:id="rId_hyperlink_4727"/>
    <hyperlink ref="D5270" r:id="rId_hyperlink_4728"/>
    <hyperlink ref="D5271" r:id="rId_hyperlink_4729"/>
    <hyperlink ref="D5272" r:id="rId_hyperlink_4730"/>
    <hyperlink ref="D5273" r:id="rId_hyperlink_4731"/>
    <hyperlink ref="D5274" r:id="rId_hyperlink_4732"/>
    <hyperlink ref="D5275" r:id="rId_hyperlink_4733"/>
    <hyperlink ref="D5276" r:id="rId_hyperlink_4734"/>
    <hyperlink ref="D5277" r:id="rId_hyperlink_4735"/>
    <hyperlink ref="D5279" r:id="rId_hyperlink_4736"/>
    <hyperlink ref="D5280" r:id="rId_hyperlink_4737"/>
    <hyperlink ref="D5281" r:id="rId_hyperlink_4738"/>
    <hyperlink ref="D5282" r:id="rId_hyperlink_4739"/>
    <hyperlink ref="D5283" r:id="rId_hyperlink_4740"/>
    <hyperlink ref="D5284" r:id="rId_hyperlink_4741"/>
    <hyperlink ref="D5285" r:id="rId_hyperlink_4742"/>
    <hyperlink ref="D5286" r:id="rId_hyperlink_4743"/>
    <hyperlink ref="D5287" r:id="rId_hyperlink_4744"/>
    <hyperlink ref="D5288" r:id="rId_hyperlink_4745"/>
    <hyperlink ref="D5289" r:id="rId_hyperlink_4746"/>
    <hyperlink ref="D5290" r:id="rId_hyperlink_4747"/>
    <hyperlink ref="D5291" r:id="rId_hyperlink_4748"/>
    <hyperlink ref="D5292" r:id="rId_hyperlink_4749"/>
    <hyperlink ref="D5293" r:id="rId_hyperlink_4750"/>
    <hyperlink ref="D5294" r:id="rId_hyperlink_4751"/>
    <hyperlink ref="D5295" r:id="rId_hyperlink_4752"/>
    <hyperlink ref="D5296" r:id="rId_hyperlink_4753"/>
    <hyperlink ref="D5297" r:id="rId_hyperlink_4754"/>
    <hyperlink ref="D5298" r:id="rId_hyperlink_4755"/>
    <hyperlink ref="D5299" r:id="rId_hyperlink_4756"/>
    <hyperlink ref="D5300" r:id="rId_hyperlink_4757"/>
    <hyperlink ref="D5301" r:id="rId_hyperlink_4758"/>
    <hyperlink ref="D5302" r:id="rId_hyperlink_4759"/>
    <hyperlink ref="D5303" r:id="rId_hyperlink_4760"/>
    <hyperlink ref="D5304" r:id="rId_hyperlink_4761"/>
    <hyperlink ref="D5305" r:id="rId_hyperlink_4762"/>
    <hyperlink ref="D5306" r:id="rId_hyperlink_4763"/>
    <hyperlink ref="D5307" r:id="rId_hyperlink_4764"/>
    <hyperlink ref="D5308" r:id="rId_hyperlink_4765"/>
    <hyperlink ref="D5309" r:id="rId_hyperlink_4766"/>
    <hyperlink ref="D5310" r:id="rId_hyperlink_4767"/>
    <hyperlink ref="D5311" r:id="rId_hyperlink_4768"/>
    <hyperlink ref="D5312" r:id="rId_hyperlink_4769"/>
    <hyperlink ref="D5313" r:id="rId_hyperlink_4770"/>
    <hyperlink ref="D5315" r:id="rId_hyperlink_4771"/>
    <hyperlink ref="D5316" r:id="rId_hyperlink_4772"/>
    <hyperlink ref="D5317" r:id="rId_hyperlink_4773"/>
    <hyperlink ref="D5318" r:id="rId_hyperlink_4774"/>
    <hyperlink ref="D5319" r:id="rId_hyperlink_4775"/>
    <hyperlink ref="D5320" r:id="rId_hyperlink_4776"/>
    <hyperlink ref="D5322" r:id="rId_hyperlink_4777"/>
    <hyperlink ref="D5323" r:id="rId_hyperlink_4778"/>
    <hyperlink ref="D5324" r:id="rId_hyperlink_4779"/>
    <hyperlink ref="D5325" r:id="rId_hyperlink_4780"/>
    <hyperlink ref="D5326" r:id="rId_hyperlink_4781"/>
    <hyperlink ref="D5327" r:id="rId_hyperlink_4782"/>
    <hyperlink ref="D5328" r:id="rId_hyperlink_4783"/>
    <hyperlink ref="D5329" r:id="rId_hyperlink_4784"/>
    <hyperlink ref="D5330" r:id="rId_hyperlink_4785"/>
    <hyperlink ref="D5331" r:id="rId_hyperlink_4786"/>
    <hyperlink ref="D5335" r:id="rId_hyperlink_4787"/>
    <hyperlink ref="D5336" r:id="rId_hyperlink_4788"/>
    <hyperlink ref="D5337" r:id="rId_hyperlink_4789"/>
    <hyperlink ref="D5338" r:id="rId_hyperlink_4790"/>
    <hyperlink ref="D5339" r:id="rId_hyperlink_4791"/>
    <hyperlink ref="D5340" r:id="rId_hyperlink_4792"/>
    <hyperlink ref="D5341" r:id="rId_hyperlink_4793"/>
    <hyperlink ref="D5342" r:id="rId_hyperlink_4794"/>
    <hyperlink ref="D5343" r:id="rId_hyperlink_4795"/>
    <hyperlink ref="D5344" r:id="rId_hyperlink_4796"/>
    <hyperlink ref="D5345" r:id="rId_hyperlink_4797"/>
    <hyperlink ref="D5346" r:id="rId_hyperlink_4798"/>
    <hyperlink ref="D5347" r:id="rId_hyperlink_4799"/>
    <hyperlink ref="D5348" r:id="rId_hyperlink_4800"/>
    <hyperlink ref="D5349" r:id="rId_hyperlink_4801"/>
    <hyperlink ref="D5350" r:id="rId_hyperlink_4802"/>
    <hyperlink ref="D5351" r:id="rId_hyperlink_4803"/>
    <hyperlink ref="D5352" r:id="rId_hyperlink_4804"/>
    <hyperlink ref="D5353" r:id="rId_hyperlink_4805"/>
    <hyperlink ref="D5354" r:id="rId_hyperlink_4806"/>
    <hyperlink ref="D5355" r:id="rId_hyperlink_4807"/>
    <hyperlink ref="D5356" r:id="rId_hyperlink_4808"/>
    <hyperlink ref="D5357" r:id="rId_hyperlink_4809"/>
    <hyperlink ref="D5358" r:id="rId_hyperlink_4810"/>
    <hyperlink ref="D5359" r:id="rId_hyperlink_4811"/>
    <hyperlink ref="D5360" r:id="rId_hyperlink_4812"/>
    <hyperlink ref="D5361" r:id="rId_hyperlink_4813"/>
    <hyperlink ref="D5362" r:id="rId_hyperlink_4814"/>
    <hyperlink ref="D5364" r:id="rId_hyperlink_4815"/>
    <hyperlink ref="D5365" r:id="rId_hyperlink_4816"/>
    <hyperlink ref="D5366" r:id="rId_hyperlink_4817"/>
    <hyperlink ref="D5367" r:id="rId_hyperlink_4818"/>
    <hyperlink ref="D5368" r:id="rId_hyperlink_4819"/>
    <hyperlink ref="D5369" r:id="rId_hyperlink_4820"/>
    <hyperlink ref="D5370" r:id="rId_hyperlink_4821"/>
    <hyperlink ref="D5371" r:id="rId_hyperlink_4822"/>
    <hyperlink ref="D5372" r:id="rId_hyperlink_4823"/>
    <hyperlink ref="D5373" r:id="rId_hyperlink_4824"/>
    <hyperlink ref="D5374" r:id="rId_hyperlink_4825"/>
    <hyperlink ref="D5375" r:id="rId_hyperlink_4826"/>
    <hyperlink ref="D5376" r:id="rId_hyperlink_4827"/>
    <hyperlink ref="D5378" r:id="rId_hyperlink_4828"/>
    <hyperlink ref="D5379" r:id="rId_hyperlink_4829"/>
    <hyperlink ref="D5380" r:id="rId_hyperlink_4830"/>
    <hyperlink ref="D5381" r:id="rId_hyperlink_4831"/>
    <hyperlink ref="D5382" r:id="rId_hyperlink_4832"/>
    <hyperlink ref="D5383" r:id="rId_hyperlink_4833"/>
    <hyperlink ref="D5384" r:id="rId_hyperlink_4834"/>
    <hyperlink ref="D5385" r:id="rId_hyperlink_4835"/>
    <hyperlink ref="D5386" r:id="rId_hyperlink_4836"/>
    <hyperlink ref="D5387" r:id="rId_hyperlink_4837"/>
    <hyperlink ref="D5388" r:id="rId_hyperlink_4838"/>
    <hyperlink ref="D5389" r:id="rId_hyperlink_4839"/>
    <hyperlink ref="D5390" r:id="rId_hyperlink_4840"/>
    <hyperlink ref="D5391" r:id="rId_hyperlink_4841"/>
    <hyperlink ref="D5392" r:id="rId_hyperlink_4842"/>
    <hyperlink ref="D5393" r:id="rId_hyperlink_4843"/>
    <hyperlink ref="D5394" r:id="rId_hyperlink_4844"/>
    <hyperlink ref="D5397" r:id="rId_hyperlink_4845"/>
    <hyperlink ref="D5398" r:id="rId_hyperlink_4846"/>
    <hyperlink ref="D5399" r:id="rId_hyperlink_4847"/>
    <hyperlink ref="D5400" r:id="rId_hyperlink_4848"/>
    <hyperlink ref="D5401" r:id="rId_hyperlink_4849"/>
    <hyperlink ref="D5402" r:id="rId_hyperlink_4850"/>
    <hyperlink ref="D5403" r:id="rId_hyperlink_4851"/>
    <hyperlink ref="D5404" r:id="rId_hyperlink_4852"/>
    <hyperlink ref="D5405" r:id="rId_hyperlink_4853"/>
    <hyperlink ref="D5406" r:id="rId_hyperlink_4854"/>
    <hyperlink ref="D5407" r:id="rId_hyperlink_4855"/>
    <hyperlink ref="D5408" r:id="rId_hyperlink_4856"/>
    <hyperlink ref="D5409" r:id="rId_hyperlink_4857"/>
    <hyperlink ref="D5410" r:id="rId_hyperlink_4858"/>
    <hyperlink ref="D5411" r:id="rId_hyperlink_4859"/>
    <hyperlink ref="D5412" r:id="rId_hyperlink_4860"/>
    <hyperlink ref="D5413" r:id="rId_hyperlink_4861"/>
    <hyperlink ref="D5414" r:id="rId_hyperlink_4862"/>
    <hyperlink ref="D5415" r:id="rId_hyperlink_4863"/>
    <hyperlink ref="D5416" r:id="rId_hyperlink_4864"/>
    <hyperlink ref="D5417" r:id="rId_hyperlink_4865"/>
    <hyperlink ref="D5418" r:id="rId_hyperlink_4866"/>
    <hyperlink ref="D5419" r:id="rId_hyperlink_4867"/>
    <hyperlink ref="D5420" r:id="rId_hyperlink_4868"/>
    <hyperlink ref="D5421" r:id="rId_hyperlink_4869"/>
    <hyperlink ref="D5422" r:id="rId_hyperlink_4870"/>
    <hyperlink ref="D5423" r:id="rId_hyperlink_4871"/>
    <hyperlink ref="D5424" r:id="rId_hyperlink_4872"/>
    <hyperlink ref="D5425" r:id="rId_hyperlink_4873"/>
    <hyperlink ref="D5426" r:id="rId_hyperlink_4874"/>
    <hyperlink ref="D5427" r:id="rId_hyperlink_4875"/>
    <hyperlink ref="D5428" r:id="rId_hyperlink_4876"/>
    <hyperlink ref="D5429" r:id="rId_hyperlink_4877"/>
    <hyperlink ref="D5430" r:id="rId_hyperlink_4878"/>
    <hyperlink ref="D5431" r:id="rId_hyperlink_4879"/>
    <hyperlink ref="D5432" r:id="rId_hyperlink_4880"/>
    <hyperlink ref="D5433" r:id="rId_hyperlink_4881"/>
    <hyperlink ref="D5434" r:id="rId_hyperlink_4882"/>
    <hyperlink ref="D5435" r:id="rId_hyperlink_4883"/>
    <hyperlink ref="D5436" r:id="rId_hyperlink_4884"/>
    <hyperlink ref="D5437" r:id="rId_hyperlink_4885"/>
    <hyperlink ref="D5438" r:id="rId_hyperlink_4886"/>
    <hyperlink ref="D5439" r:id="rId_hyperlink_4887"/>
    <hyperlink ref="D5440" r:id="rId_hyperlink_4888"/>
    <hyperlink ref="D5441" r:id="rId_hyperlink_4889"/>
    <hyperlink ref="D5442" r:id="rId_hyperlink_4890"/>
    <hyperlink ref="D5443" r:id="rId_hyperlink_4891"/>
    <hyperlink ref="D5445" r:id="rId_hyperlink_4892"/>
    <hyperlink ref="D5446" r:id="rId_hyperlink_4893"/>
    <hyperlink ref="D5447" r:id="rId_hyperlink_4894"/>
    <hyperlink ref="D5448" r:id="rId_hyperlink_4895"/>
    <hyperlink ref="D5449" r:id="rId_hyperlink_4896"/>
    <hyperlink ref="D5450" r:id="rId_hyperlink_4897"/>
    <hyperlink ref="D5451" r:id="rId_hyperlink_4898"/>
    <hyperlink ref="D5452" r:id="rId_hyperlink_4899"/>
    <hyperlink ref="D5453" r:id="rId_hyperlink_4900"/>
    <hyperlink ref="D5454" r:id="rId_hyperlink_4901"/>
    <hyperlink ref="D5455" r:id="rId_hyperlink_4902"/>
    <hyperlink ref="D5456" r:id="rId_hyperlink_4903"/>
    <hyperlink ref="D5457" r:id="rId_hyperlink_4904"/>
    <hyperlink ref="D5458" r:id="rId_hyperlink_4905"/>
    <hyperlink ref="D5459" r:id="rId_hyperlink_4906"/>
    <hyperlink ref="D5460" r:id="rId_hyperlink_4907"/>
    <hyperlink ref="D5461" r:id="rId_hyperlink_4908"/>
    <hyperlink ref="D5462" r:id="rId_hyperlink_4909"/>
    <hyperlink ref="D5463" r:id="rId_hyperlink_4910"/>
    <hyperlink ref="D5464" r:id="rId_hyperlink_4911"/>
    <hyperlink ref="D5465" r:id="rId_hyperlink_4912"/>
    <hyperlink ref="D5466" r:id="rId_hyperlink_4913"/>
    <hyperlink ref="D5467" r:id="rId_hyperlink_4914"/>
    <hyperlink ref="D5468" r:id="rId_hyperlink_4915"/>
    <hyperlink ref="D5469" r:id="rId_hyperlink_4916"/>
    <hyperlink ref="D5470" r:id="rId_hyperlink_4917"/>
    <hyperlink ref="D5471" r:id="rId_hyperlink_4918"/>
    <hyperlink ref="D5472" r:id="rId_hyperlink_4919"/>
    <hyperlink ref="D5473" r:id="rId_hyperlink_4920"/>
    <hyperlink ref="D5474" r:id="rId_hyperlink_4921"/>
    <hyperlink ref="D5475" r:id="rId_hyperlink_4922"/>
    <hyperlink ref="D5476" r:id="rId_hyperlink_4923"/>
    <hyperlink ref="D5477" r:id="rId_hyperlink_4924"/>
    <hyperlink ref="D5478" r:id="rId_hyperlink_4925"/>
    <hyperlink ref="D5479" r:id="rId_hyperlink_4926"/>
    <hyperlink ref="D5480" r:id="rId_hyperlink_4927"/>
    <hyperlink ref="D5481" r:id="rId_hyperlink_4928"/>
    <hyperlink ref="D5482" r:id="rId_hyperlink_4929"/>
    <hyperlink ref="D5483" r:id="rId_hyperlink_4930"/>
    <hyperlink ref="D5484" r:id="rId_hyperlink_4931"/>
    <hyperlink ref="D5485" r:id="rId_hyperlink_4932"/>
    <hyperlink ref="D5486" r:id="rId_hyperlink_4933"/>
    <hyperlink ref="D5487" r:id="rId_hyperlink_4934"/>
    <hyperlink ref="D5488" r:id="rId_hyperlink_4935"/>
    <hyperlink ref="D5489" r:id="rId_hyperlink_4936"/>
    <hyperlink ref="D5490" r:id="rId_hyperlink_4937"/>
    <hyperlink ref="D5491" r:id="rId_hyperlink_4938"/>
    <hyperlink ref="D5492" r:id="rId_hyperlink_4939"/>
    <hyperlink ref="D5493" r:id="rId_hyperlink_4940"/>
    <hyperlink ref="D5494" r:id="rId_hyperlink_4941"/>
    <hyperlink ref="D5495" r:id="rId_hyperlink_4942"/>
    <hyperlink ref="D5496" r:id="rId_hyperlink_4943"/>
    <hyperlink ref="D5497" r:id="rId_hyperlink_4944"/>
    <hyperlink ref="D5498" r:id="rId_hyperlink_4945"/>
    <hyperlink ref="D5499" r:id="rId_hyperlink_4946"/>
    <hyperlink ref="D5500" r:id="rId_hyperlink_4947"/>
    <hyperlink ref="D5501" r:id="rId_hyperlink_4948"/>
    <hyperlink ref="D5502" r:id="rId_hyperlink_4949"/>
    <hyperlink ref="D5503" r:id="rId_hyperlink_4950"/>
    <hyperlink ref="D5504" r:id="rId_hyperlink_4951"/>
    <hyperlink ref="D5505" r:id="rId_hyperlink_4952"/>
    <hyperlink ref="D5506" r:id="rId_hyperlink_4953"/>
    <hyperlink ref="D5507" r:id="rId_hyperlink_4954"/>
    <hyperlink ref="D5508" r:id="rId_hyperlink_4955"/>
    <hyperlink ref="D5509" r:id="rId_hyperlink_4956"/>
    <hyperlink ref="D5510" r:id="rId_hyperlink_4957"/>
    <hyperlink ref="D5511" r:id="rId_hyperlink_4958"/>
    <hyperlink ref="D5512" r:id="rId_hyperlink_4959"/>
    <hyperlink ref="D5513" r:id="rId_hyperlink_4960"/>
    <hyperlink ref="D5514" r:id="rId_hyperlink_4961"/>
    <hyperlink ref="D5515" r:id="rId_hyperlink_4962"/>
    <hyperlink ref="D5517" r:id="rId_hyperlink_4963"/>
    <hyperlink ref="D5518" r:id="rId_hyperlink_4964"/>
    <hyperlink ref="D5519" r:id="rId_hyperlink_4965"/>
    <hyperlink ref="D5520" r:id="rId_hyperlink_4966"/>
    <hyperlink ref="D5521" r:id="rId_hyperlink_4967"/>
    <hyperlink ref="D5522" r:id="rId_hyperlink_4968"/>
    <hyperlink ref="D5524" r:id="rId_hyperlink_4969"/>
    <hyperlink ref="D5525" r:id="rId_hyperlink_4970"/>
    <hyperlink ref="D5526" r:id="rId_hyperlink_4971"/>
    <hyperlink ref="D5527" r:id="rId_hyperlink_4972"/>
    <hyperlink ref="D5528" r:id="rId_hyperlink_4973"/>
    <hyperlink ref="D5529" r:id="rId_hyperlink_4974"/>
    <hyperlink ref="D5530" r:id="rId_hyperlink_4975"/>
    <hyperlink ref="D5531" r:id="rId_hyperlink_4976"/>
    <hyperlink ref="D5532" r:id="rId_hyperlink_4977"/>
    <hyperlink ref="D5533" r:id="rId_hyperlink_4978"/>
    <hyperlink ref="D5534" r:id="rId_hyperlink_4979"/>
    <hyperlink ref="D5535" r:id="rId_hyperlink_4980"/>
    <hyperlink ref="D5536" r:id="rId_hyperlink_4981"/>
    <hyperlink ref="D5537" r:id="rId_hyperlink_4982"/>
    <hyperlink ref="D5538" r:id="rId_hyperlink_4983"/>
    <hyperlink ref="D5539" r:id="rId_hyperlink_4984"/>
    <hyperlink ref="D5540" r:id="rId_hyperlink_4985"/>
    <hyperlink ref="D5542" r:id="rId_hyperlink_4986"/>
    <hyperlink ref="D5543" r:id="rId_hyperlink_4987"/>
    <hyperlink ref="D5544" r:id="rId_hyperlink_4988"/>
    <hyperlink ref="D5545" r:id="rId_hyperlink_4989"/>
    <hyperlink ref="D5546" r:id="rId_hyperlink_4990"/>
    <hyperlink ref="D5547" r:id="rId_hyperlink_4991"/>
    <hyperlink ref="D5548" r:id="rId_hyperlink_4992"/>
    <hyperlink ref="D5549" r:id="rId_hyperlink_4993"/>
    <hyperlink ref="D5550" r:id="rId_hyperlink_4994"/>
    <hyperlink ref="D5551" r:id="rId_hyperlink_4995"/>
    <hyperlink ref="D5552" r:id="rId_hyperlink_4996"/>
    <hyperlink ref="D5553" r:id="rId_hyperlink_4997"/>
    <hyperlink ref="D5554" r:id="rId_hyperlink_4998"/>
    <hyperlink ref="D5555" r:id="rId_hyperlink_4999"/>
    <hyperlink ref="D5556" r:id="rId_hyperlink_5000"/>
    <hyperlink ref="D5557" r:id="rId_hyperlink_5001"/>
    <hyperlink ref="D5558" r:id="rId_hyperlink_5002"/>
    <hyperlink ref="D5559" r:id="rId_hyperlink_5003"/>
    <hyperlink ref="D5560" r:id="rId_hyperlink_5004"/>
    <hyperlink ref="D5561" r:id="rId_hyperlink_5005"/>
    <hyperlink ref="D5562" r:id="rId_hyperlink_5006"/>
    <hyperlink ref="D5563" r:id="rId_hyperlink_5007"/>
    <hyperlink ref="D5565" r:id="rId_hyperlink_5008"/>
    <hyperlink ref="D5566" r:id="rId_hyperlink_5009"/>
    <hyperlink ref="D5567" r:id="rId_hyperlink_5010"/>
    <hyperlink ref="D5568" r:id="rId_hyperlink_5011"/>
    <hyperlink ref="D5570" r:id="rId_hyperlink_5012"/>
    <hyperlink ref="D5571" r:id="rId_hyperlink_5013"/>
    <hyperlink ref="D5572" r:id="rId_hyperlink_5014"/>
    <hyperlink ref="D5573" r:id="rId_hyperlink_5015"/>
    <hyperlink ref="D5574" r:id="rId_hyperlink_5016"/>
    <hyperlink ref="D5575" r:id="rId_hyperlink_5017"/>
    <hyperlink ref="D5576" r:id="rId_hyperlink_5018"/>
    <hyperlink ref="D5577" r:id="rId_hyperlink_5019"/>
    <hyperlink ref="D5578" r:id="rId_hyperlink_5020"/>
    <hyperlink ref="D5579" r:id="rId_hyperlink_5021"/>
    <hyperlink ref="D5580" r:id="rId_hyperlink_5022"/>
    <hyperlink ref="D5581" r:id="rId_hyperlink_5023"/>
    <hyperlink ref="D5582" r:id="rId_hyperlink_5024"/>
    <hyperlink ref="D5583" r:id="rId_hyperlink_5025"/>
    <hyperlink ref="D5584" r:id="rId_hyperlink_5026"/>
    <hyperlink ref="D5585" r:id="rId_hyperlink_5027"/>
    <hyperlink ref="D5587" r:id="rId_hyperlink_5028"/>
    <hyperlink ref="D5588" r:id="rId_hyperlink_5029"/>
    <hyperlink ref="D5589" r:id="rId_hyperlink_5030"/>
    <hyperlink ref="D5590" r:id="rId_hyperlink_5031"/>
    <hyperlink ref="D5591" r:id="rId_hyperlink_5032"/>
    <hyperlink ref="D5592" r:id="rId_hyperlink_5033"/>
    <hyperlink ref="D5593" r:id="rId_hyperlink_5034"/>
    <hyperlink ref="D5594" r:id="rId_hyperlink_5035"/>
    <hyperlink ref="D5595" r:id="rId_hyperlink_5036"/>
    <hyperlink ref="D5596" r:id="rId_hyperlink_5037"/>
    <hyperlink ref="D5597" r:id="rId_hyperlink_5038"/>
    <hyperlink ref="D5598" r:id="rId_hyperlink_5039"/>
    <hyperlink ref="D5599" r:id="rId_hyperlink_5040"/>
    <hyperlink ref="D5600" r:id="rId_hyperlink_5041"/>
    <hyperlink ref="D5601" r:id="rId_hyperlink_5042"/>
    <hyperlink ref="D5602" r:id="rId_hyperlink_5043"/>
    <hyperlink ref="D5603" r:id="rId_hyperlink_5044"/>
    <hyperlink ref="D5604" r:id="rId_hyperlink_5045"/>
    <hyperlink ref="D5605" r:id="rId_hyperlink_5046"/>
    <hyperlink ref="D5606" r:id="rId_hyperlink_5047"/>
    <hyperlink ref="D5607" r:id="rId_hyperlink_5048"/>
    <hyperlink ref="D5608" r:id="rId_hyperlink_5049"/>
    <hyperlink ref="D5609" r:id="rId_hyperlink_5050"/>
    <hyperlink ref="D5610" r:id="rId_hyperlink_5051"/>
    <hyperlink ref="D5612" r:id="rId_hyperlink_5052"/>
    <hyperlink ref="D5614" r:id="rId_hyperlink_5053"/>
    <hyperlink ref="D5615" r:id="rId_hyperlink_5054"/>
    <hyperlink ref="D5616" r:id="rId_hyperlink_5055"/>
    <hyperlink ref="D5617" r:id="rId_hyperlink_5056"/>
    <hyperlink ref="D5618" r:id="rId_hyperlink_5057"/>
    <hyperlink ref="D5619" r:id="rId_hyperlink_5058"/>
    <hyperlink ref="D5620" r:id="rId_hyperlink_5059"/>
    <hyperlink ref="D5621" r:id="rId_hyperlink_5060"/>
    <hyperlink ref="D5622" r:id="rId_hyperlink_5061"/>
    <hyperlink ref="D5623" r:id="rId_hyperlink_5062"/>
    <hyperlink ref="D5624" r:id="rId_hyperlink_5063"/>
    <hyperlink ref="D5625" r:id="rId_hyperlink_5064"/>
    <hyperlink ref="D5626" r:id="rId_hyperlink_5065"/>
    <hyperlink ref="D5627" r:id="rId_hyperlink_5066"/>
    <hyperlink ref="D5628" r:id="rId_hyperlink_5067"/>
    <hyperlink ref="D5629" r:id="rId_hyperlink_5068"/>
    <hyperlink ref="D5632" r:id="rId_hyperlink_5069"/>
    <hyperlink ref="D5633" r:id="rId_hyperlink_5070"/>
    <hyperlink ref="D5634" r:id="rId_hyperlink_5071"/>
    <hyperlink ref="D5635" r:id="rId_hyperlink_5072"/>
    <hyperlink ref="D5636" r:id="rId_hyperlink_5073"/>
    <hyperlink ref="D5637" r:id="rId_hyperlink_5074"/>
    <hyperlink ref="D5638" r:id="rId_hyperlink_5075"/>
    <hyperlink ref="D5639" r:id="rId_hyperlink_5076"/>
    <hyperlink ref="D5640" r:id="rId_hyperlink_5077"/>
    <hyperlink ref="D5641" r:id="rId_hyperlink_5078"/>
    <hyperlink ref="D5642" r:id="rId_hyperlink_5079"/>
    <hyperlink ref="D5643" r:id="rId_hyperlink_5080"/>
    <hyperlink ref="D5644" r:id="rId_hyperlink_5081"/>
    <hyperlink ref="D5645" r:id="rId_hyperlink_5082"/>
    <hyperlink ref="D5646" r:id="rId_hyperlink_5083"/>
    <hyperlink ref="D5647" r:id="rId_hyperlink_5084"/>
    <hyperlink ref="D5648" r:id="rId_hyperlink_5085"/>
    <hyperlink ref="D5649" r:id="rId_hyperlink_5086"/>
    <hyperlink ref="D5650" r:id="rId_hyperlink_5087"/>
    <hyperlink ref="D5651" r:id="rId_hyperlink_5088"/>
    <hyperlink ref="D5652" r:id="rId_hyperlink_5089"/>
    <hyperlink ref="D5653" r:id="rId_hyperlink_5090"/>
    <hyperlink ref="D5654" r:id="rId_hyperlink_5091"/>
    <hyperlink ref="D5655" r:id="rId_hyperlink_5092"/>
    <hyperlink ref="D5656" r:id="rId_hyperlink_5093"/>
    <hyperlink ref="D5657" r:id="rId_hyperlink_5094"/>
    <hyperlink ref="D5658" r:id="rId_hyperlink_5095"/>
    <hyperlink ref="D5660" r:id="rId_hyperlink_5096"/>
    <hyperlink ref="D5661" r:id="rId_hyperlink_5097"/>
    <hyperlink ref="D5662" r:id="rId_hyperlink_5098"/>
    <hyperlink ref="D5663" r:id="rId_hyperlink_5099"/>
    <hyperlink ref="D5664" r:id="rId_hyperlink_5100"/>
    <hyperlink ref="D5665" r:id="rId_hyperlink_5101"/>
    <hyperlink ref="D5666" r:id="rId_hyperlink_5102"/>
    <hyperlink ref="D5667" r:id="rId_hyperlink_5103"/>
    <hyperlink ref="D5668" r:id="rId_hyperlink_5104"/>
    <hyperlink ref="D5669" r:id="rId_hyperlink_5105"/>
    <hyperlink ref="D5670" r:id="rId_hyperlink_5106"/>
    <hyperlink ref="D5671" r:id="rId_hyperlink_5107"/>
    <hyperlink ref="D5672" r:id="rId_hyperlink_5108"/>
    <hyperlink ref="D5673" r:id="rId_hyperlink_5109"/>
    <hyperlink ref="D5674" r:id="rId_hyperlink_5110"/>
    <hyperlink ref="D5677" r:id="rId_hyperlink_5111"/>
    <hyperlink ref="D5678" r:id="rId_hyperlink_5112"/>
    <hyperlink ref="D5679" r:id="rId_hyperlink_5113"/>
    <hyperlink ref="D5680" r:id="rId_hyperlink_5114"/>
    <hyperlink ref="D5681" r:id="rId_hyperlink_5115"/>
    <hyperlink ref="D5682" r:id="rId_hyperlink_5116"/>
    <hyperlink ref="D5683" r:id="rId_hyperlink_5117"/>
    <hyperlink ref="D5684" r:id="rId_hyperlink_5118"/>
    <hyperlink ref="D5687" r:id="rId_hyperlink_5119"/>
    <hyperlink ref="D5688" r:id="rId_hyperlink_5120"/>
    <hyperlink ref="D5689" r:id="rId_hyperlink_5121"/>
    <hyperlink ref="D5690" r:id="rId_hyperlink_5122"/>
    <hyperlink ref="D5692" r:id="rId_hyperlink_5123"/>
    <hyperlink ref="D5693" r:id="rId_hyperlink_5124"/>
    <hyperlink ref="D5694" r:id="rId_hyperlink_5125"/>
    <hyperlink ref="D5696" r:id="rId_hyperlink_5126"/>
    <hyperlink ref="D5697" r:id="rId_hyperlink_5127"/>
    <hyperlink ref="D5699" r:id="rId_hyperlink_5128"/>
    <hyperlink ref="D5700" r:id="rId_hyperlink_5129"/>
    <hyperlink ref="D5701" r:id="rId_hyperlink_5130"/>
    <hyperlink ref="D5702" r:id="rId_hyperlink_5131"/>
    <hyperlink ref="D5703" r:id="rId_hyperlink_5132"/>
    <hyperlink ref="D5704" r:id="rId_hyperlink_5133"/>
    <hyperlink ref="D5705" r:id="rId_hyperlink_5134"/>
    <hyperlink ref="D5706" r:id="rId_hyperlink_5135"/>
    <hyperlink ref="D5707" r:id="rId_hyperlink_5136"/>
    <hyperlink ref="D5708" r:id="rId_hyperlink_5137"/>
    <hyperlink ref="D5709" r:id="rId_hyperlink_5138"/>
    <hyperlink ref="D5710" r:id="rId_hyperlink_5139"/>
    <hyperlink ref="D5711" r:id="rId_hyperlink_5140"/>
    <hyperlink ref="D5712" r:id="rId_hyperlink_5141"/>
    <hyperlink ref="D5713" r:id="rId_hyperlink_5142"/>
    <hyperlink ref="D5714" r:id="rId_hyperlink_5143"/>
    <hyperlink ref="D5715" r:id="rId_hyperlink_5144"/>
    <hyperlink ref="D5716" r:id="rId_hyperlink_5145"/>
    <hyperlink ref="D5717" r:id="rId_hyperlink_5146"/>
    <hyperlink ref="D5718" r:id="rId_hyperlink_5147"/>
    <hyperlink ref="D5719" r:id="rId_hyperlink_5148"/>
    <hyperlink ref="D5720" r:id="rId_hyperlink_5149"/>
    <hyperlink ref="D5721" r:id="rId_hyperlink_5150"/>
    <hyperlink ref="D5722" r:id="rId_hyperlink_5151"/>
    <hyperlink ref="D5723" r:id="rId_hyperlink_5152"/>
    <hyperlink ref="D5724" r:id="rId_hyperlink_5153"/>
    <hyperlink ref="D5725" r:id="rId_hyperlink_5154"/>
    <hyperlink ref="D5726" r:id="rId_hyperlink_5155"/>
    <hyperlink ref="D5727" r:id="rId_hyperlink_5156"/>
    <hyperlink ref="D5728" r:id="rId_hyperlink_5157"/>
    <hyperlink ref="D5730" r:id="rId_hyperlink_5158"/>
    <hyperlink ref="D5731" r:id="rId_hyperlink_5159"/>
    <hyperlink ref="D5732" r:id="rId_hyperlink_5160"/>
    <hyperlink ref="D5733" r:id="rId_hyperlink_5161"/>
    <hyperlink ref="D5735" r:id="rId_hyperlink_5162"/>
    <hyperlink ref="D5737" r:id="rId_hyperlink_5163"/>
    <hyperlink ref="D5738" r:id="rId_hyperlink_5164"/>
    <hyperlink ref="D5739" r:id="rId_hyperlink_5165"/>
    <hyperlink ref="D5740" r:id="rId_hyperlink_5166"/>
    <hyperlink ref="D5741" r:id="rId_hyperlink_5167"/>
    <hyperlink ref="D5742" r:id="rId_hyperlink_5168"/>
    <hyperlink ref="D5743" r:id="rId_hyperlink_5169"/>
    <hyperlink ref="D5744" r:id="rId_hyperlink_5170"/>
    <hyperlink ref="D5745" r:id="rId_hyperlink_5171"/>
    <hyperlink ref="D5746" r:id="rId_hyperlink_5172"/>
    <hyperlink ref="D5747" r:id="rId_hyperlink_5173"/>
    <hyperlink ref="D5748" r:id="rId_hyperlink_5174"/>
    <hyperlink ref="D5749" r:id="rId_hyperlink_5175"/>
    <hyperlink ref="D5750" r:id="rId_hyperlink_5176"/>
    <hyperlink ref="D5751" r:id="rId_hyperlink_5177"/>
    <hyperlink ref="D5752" r:id="rId_hyperlink_5178"/>
    <hyperlink ref="D5753" r:id="rId_hyperlink_5179"/>
    <hyperlink ref="D5754" r:id="rId_hyperlink_5180"/>
    <hyperlink ref="D5756" r:id="rId_hyperlink_5181"/>
    <hyperlink ref="D5757" r:id="rId_hyperlink_5182"/>
    <hyperlink ref="D5758" r:id="rId_hyperlink_5183"/>
    <hyperlink ref="D5759" r:id="rId_hyperlink_5184"/>
    <hyperlink ref="D5760" r:id="rId_hyperlink_5185"/>
    <hyperlink ref="D5761" r:id="rId_hyperlink_5186"/>
    <hyperlink ref="D5762" r:id="rId_hyperlink_5187"/>
    <hyperlink ref="D5763" r:id="rId_hyperlink_5188"/>
    <hyperlink ref="D5764" r:id="rId_hyperlink_5189"/>
    <hyperlink ref="D5765" r:id="rId_hyperlink_5190"/>
    <hyperlink ref="D5766" r:id="rId_hyperlink_5191"/>
    <hyperlink ref="D5767" r:id="rId_hyperlink_5192"/>
    <hyperlink ref="D5768" r:id="rId_hyperlink_5193"/>
    <hyperlink ref="D5769" r:id="rId_hyperlink_5194"/>
    <hyperlink ref="D5770" r:id="rId_hyperlink_5195"/>
    <hyperlink ref="D5771" r:id="rId_hyperlink_5196"/>
    <hyperlink ref="D5772" r:id="rId_hyperlink_5197"/>
    <hyperlink ref="D5773" r:id="rId_hyperlink_5198"/>
    <hyperlink ref="D5774" r:id="rId_hyperlink_5199"/>
    <hyperlink ref="D5775" r:id="rId_hyperlink_5200"/>
    <hyperlink ref="D5776" r:id="rId_hyperlink_5201"/>
    <hyperlink ref="D5777" r:id="rId_hyperlink_5202"/>
    <hyperlink ref="D5778" r:id="rId_hyperlink_5203"/>
    <hyperlink ref="D5779" r:id="rId_hyperlink_5204"/>
    <hyperlink ref="D5780" r:id="rId_hyperlink_5205"/>
    <hyperlink ref="D5781" r:id="rId_hyperlink_5206"/>
    <hyperlink ref="D5782" r:id="rId_hyperlink_5207"/>
    <hyperlink ref="D5783" r:id="rId_hyperlink_5208"/>
    <hyperlink ref="D5784" r:id="rId_hyperlink_5209"/>
    <hyperlink ref="D5785" r:id="rId_hyperlink_5210"/>
    <hyperlink ref="D5786" r:id="rId_hyperlink_5211"/>
    <hyperlink ref="D5788" r:id="rId_hyperlink_5212"/>
    <hyperlink ref="D5789" r:id="rId_hyperlink_5213"/>
    <hyperlink ref="D5790" r:id="rId_hyperlink_5214"/>
    <hyperlink ref="D5791" r:id="rId_hyperlink_5215"/>
    <hyperlink ref="D5792" r:id="rId_hyperlink_5216"/>
    <hyperlink ref="D5793" r:id="rId_hyperlink_5217"/>
    <hyperlink ref="D5794" r:id="rId_hyperlink_5218"/>
    <hyperlink ref="D5795" r:id="rId_hyperlink_5219"/>
    <hyperlink ref="D5796" r:id="rId_hyperlink_5220"/>
    <hyperlink ref="D5797" r:id="rId_hyperlink_5221"/>
    <hyperlink ref="D5798" r:id="rId_hyperlink_5222"/>
    <hyperlink ref="D5799" r:id="rId_hyperlink_5223"/>
    <hyperlink ref="D5800" r:id="rId_hyperlink_5224"/>
    <hyperlink ref="D5801" r:id="rId_hyperlink_5225"/>
    <hyperlink ref="D5802" r:id="rId_hyperlink_5226"/>
    <hyperlink ref="D5803" r:id="rId_hyperlink_5227"/>
    <hyperlink ref="D5804" r:id="rId_hyperlink_5228"/>
    <hyperlink ref="D5805" r:id="rId_hyperlink_5229"/>
    <hyperlink ref="D5806" r:id="rId_hyperlink_5230"/>
    <hyperlink ref="D5807" r:id="rId_hyperlink_5231"/>
    <hyperlink ref="D5808" r:id="rId_hyperlink_5232"/>
    <hyperlink ref="D5809" r:id="rId_hyperlink_5233"/>
    <hyperlink ref="D5810" r:id="rId_hyperlink_5234"/>
    <hyperlink ref="D5811" r:id="rId_hyperlink_5235"/>
    <hyperlink ref="D5812" r:id="rId_hyperlink_5236"/>
    <hyperlink ref="D5813" r:id="rId_hyperlink_5237"/>
    <hyperlink ref="D5814" r:id="rId_hyperlink_5238"/>
    <hyperlink ref="D5815" r:id="rId_hyperlink_5239"/>
    <hyperlink ref="D5816" r:id="rId_hyperlink_5240"/>
    <hyperlink ref="D5817" r:id="rId_hyperlink_5241"/>
    <hyperlink ref="D5818" r:id="rId_hyperlink_5242"/>
    <hyperlink ref="D5820" r:id="rId_hyperlink_5243"/>
    <hyperlink ref="D5822" r:id="rId_hyperlink_5244"/>
    <hyperlink ref="D5823" r:id="rId_hyperlink_5245"/>
    <hyperlink ref="D5824" r:id="rId_hyperlink_5246"/>
    <hyperlink ref="D5825" r:id="rId_hyperlink_5247"/>
    <hyperlink ref="D5827" r:id="rId_hyperlink_5248"/>
    <hyperlink ref="D5828" r:id="rId_hyperlink_5249"/>
    <hyperlink ref="D5829" r:id="rId_hyperlink_5250"/>
    <hyperlink ref="D5830" r:id="rId_hyperlink_5251"/>
    <hyperlink ref="D5831" r:id="rId_hyperlink_5252"/>
    <hyperlink ref="D5832" r:id="rId_hyperlink_5253"/>
    <hyperlink ref="D5833" r:id="rId_hyperlink_5254"/>
    <hyperlink ref="D5834" r:id="rId_hyperlink_5255"/>
    <hyperlink ref="D5836" r:id="rId_hyperlink_5256"/>
    <hyperlink ref="D5838" r:id="rId_hyperlink_5257"/>
    <hyperlink ref="D5839" r:id="rId_hyperlink_5258"/>
    <hyperlink ref="D5840" r:id="rId_hyperlink_5259"/>
    <hyperlink ref="D5841" r:id="rId_hyperlink_5260"/>
    <hyperlink ref="D5845" r:id="rId_hyperlink_5261"/>
    <hyperlink ref="D5846" r:id="rId_hyperlink_5262"/>
    <hyperlink ref="D5847" r:id="rId_hyperlink_5263"/>
    <hyperlink ref="D5848" r:id="rId_hyperlink_5264"/>
    <hyperlink ref="D5849" r:id="rId_hyperlink_5265"/>
    <hyperlink ref="D5850" r:id="rId_hyperlink_5266"/>
    <hyperlink ref="D5851" r:id="rId_hyperlink_5267"/>
    <hyperlink ref="D5852" r:id="rId_hyperlink_5268"/>
    <hyperlink ref="D5853" r:id="rId_hyperlink_5269"/>
    <hyperlink ref="D5854" r:id="rId_hyperlink_5270"/>
    <hyperlink ref="D5855" r:id="rId_hyperlink_5271"/>
    <hyperlink ref="D5856" r:id="rId_hyperlink_5272"/>
    <hyperlink ref="D5857" r:id="rId_hyperlink_5273"/>
    <hyperlink ref="D5858" r:id="rId_hyperlink_5274"/>
    <hyperlink ref="D5859" r:id="rId_hyperlink_5275"/>
    <hyperlink ref="D5860" r:id="rId_hyperlink_5276"/>
    <hyperlink ref="D5861" r:id="rId_hyperlink_5277"/>
    <hyperlink ref="D5862" r:id="rId_hyperlink_5278"/>
    <hyperlink ref="D5863" r:id="rId_hyperlink_5279"/>
    <hyperlink ref="D5864" r:id="rId_hyperlink_5280"/>
    <hyperlink ref="D5865" r:id="rId_hyperlink_5281"/>
    <hyperlink ref="D5866" r:id="rId_hyperlink_5282"/>
    <hyperlink ref="D5867" r:id="rId_hyperlink_5283"/>
    <hyperlink ref="D5868" r:id="rId_hyperlink_5284"/>
    <hyperlink ref="D5870" r:id="rId_hyperlink_5285"/>
    <hyperlink ref="D5871" r:id="rId_hyperlink_5286"/>
    <hyperlink ref="D5872" r:id="rId_hyperlink_5287"/>
    <hyperlink ref="D5873" r:id="rId_hyperlink_5288"/>
    <hyperlink ref="D5876" r:id="rId_hyperlink_5289"/>
    <hyperlink ref="D5877" r:id="rId_hyperlink_5290"/>
    <hyperlink ref="D5878" r:id="rId_hyperlink_5291"/>
    <hyperlink ref="D5879" r:id="rId_hyperlink_5292"/>
    <hyperlink ref="D5881" r:id="rId_hyperlink_5293"/>
    <hyperlink ref="D5882" r:id="rId_hyperlink_5294"/>
    <hyperlink ref="D5883" r:id="rId_hyperlink_5295"/>
    <hyperlink ref="D5886" r:id="rId_hyperlink_5296"/>
    <hyperlink ref="D5887" r:id="rId_hyperlink_5297"/>
    <hyperlink ref="D5888" r:id="rId_hyperlink_5298"/>
    <hyperlink ref="D5889" r:id="rId_hyperlink_5299"/>
    <hyperlink ref="D5890" r:id="rId_hyperlink_5300"/>
    <hyperlink ref="D5891" r:id="rId_hyperlink_5301"/>
    <hyperlink ref="D5892" r:id="rId_hyperlink_5302"/>
    <hyperlink ref="D5893" r:id="rId_hyperlink_5303"/>
    <hyperlink ref="D5894" r:id="rId_hyperlink_5304"/>
    <hyperlink ref="D5895" r:id="rId_hyperlink_5305"/>
    <hyperlink ref="D5896" r:id="rId_hyperlink_5306"/>
    <hyperlink ref="D5897" r:id="rId_hyperlink_5307"/>
    <hyperlink ref="D5898" r:id="rId_hyperlink_5308"/>
    <hyperlink ref="D5899" r:id="rId_hyperlink_5309"/>
    <hyperlink ref="D5900" r:id="rId_hyperlink_5310"/>
    <hyperlink ref="D5901" r:id="rId_hyperlink_5311"/>
    <hyperlink ref="D5903" r:id="rId_hyperlink_5312"/>
    <hyperlink ref="D5905" r:id="rId_hyperlink_5313"/>
    <hyperlink ref="D5906" r:id="rId_hyperlink_5314"/>
    <hyperlink ref="D5908" r:id="rId_hyperlink_5315"/>
    <hyperlink ref="D5909" r:id="rId_hyperlink_5316"/>
    <hyperlink ref="D5910" r:id="rId_hyperlink_5317"/>
    <hyperlink ref="D5911" r:id="rId_hyperlink_5318"/>
    <hyperlink ref="D5912" r:id="rId_hyperlink_5319"/>
    <hyperlink ref="D5913" r:id="rId_hyperlink_5320"/>
    <hyperlink ref="D5914" r:id="rId_hyperlink_5321"/>
    <hyperlink ref="D5915" r:id="rId_hyperlink_5322"/>
    <hyperlink ref="D5916" r:id="rId_hyperlink_5323"/>
    <hyperlink ref="D5917" r:id="rId_hyperlink_5324"/>
    <hyperlink ref="D5920" r:id="rId_hyperlink_5325"/>
    <hyperlink ref="D5921" r:id="rId_hyperlink_5326"/>
    <hyperlink ref="D5924" r:id="rId_hyperlink_5327"/>
    <hyperlink ref="D5925" r:id="rId_hyperlink_5328"/>
    <hyperlink ref="D5927" r:id="rId_hyperlink_5329"/>
    <hyperlink ref="D5928" r:id="rId_hyperlink_5330"/>
    <hyperlink ref="D5929" r:id="rId_hyperlink_5331"/>
    <hyperlink ref="D5930" r:id="rId_hyperlink_5332"/>
    <hyperlink ref="D5931" r:id="rId_hyperlink_5333"/>
    <hyperlink ref="D5932" r:id="rId_hyperlink_5334"/>
    <hyperlink ref="D5933" r:id="rId_hyperlink_5335"/>
    <hyperlink ref="D5934" r:id="rId_hyperlink_5336"/>
    <hyperlink ref="D5935" r:id="rId_hyperlink_5337"/>
    <hyperlink ref="D5936" r:id="rId_hyperlink_5338"/>
    <hyperlink ref="D5937" r:id="rId_hyperlink_5339"/>
    <hyperlink ref="D5938" r:id="rId_hyperlink_5340"/>
    <hyperlink ref="D5940" r:id="rId_hyperlink_5341"/>
    <hyperlink ref="D5941" r:id="rId_hyperlink_5342"/>
    <hyperlink ref="D5942" r:id="rId_hyperlink_5343"/>
    <hyperlink ref="D5943" r:id="rId_hyperlink_5344"/>
    <hyperlink ref="D5946" r:id="rId_hyperlink_5345"/>
    <hyperlink ref="D5947" r:id="rId_hyperlink_5346"/>
    <hyperlink ref="D5948" r:id="rId_hyperlink_5347"/>
    <hyperlink ref="D5949" r:id="rId_hyperlink_5348"/>
    <hyperlink ref="D5950" r:id="rId_hyperlink_5349"/>
    <hyperlink ref="D5951" r:id="rId_hyperlink_5350"/>
    <hyperlink ref="D5952" r:id="rId_hyperlink_5351"/>
    <hyperlink ref="D5953" r:id="rId_hyperlink_5352"/>
    <hyperlink ref="D5954" r:id="rId_hyperlink_5353"/>
    <hyperlink ref="D5955" r:id="rId_hyperlink_5354"/>
    <hyperlink ref="D5956" r:id="rId_hyperlink_5355"/>
    <hyperlink ref="D5957" r:id="rId_hyperlink_5356"/>
    <hyperlink ref="D5958" r:id="rId_hyperlink_5357"/>
    <hyperlink ref="D5959" r:id="rId_hyperlink_5358"/>
    <hyperlink ref="D5960" r:id="rId_hyperlink_5359"/>
    <hyperlink ref="D5961" r:id="rId_hyperlink_5360"/>
    <hyperlink ref="D5962" r:id="rId_hyperlink_5361"/>
    <hyperlink ref="D5963" r:id="rId_hyperlink_5362"/>
    <hyperlink ref="D5964" r:id="rId_hyperlink_5363"/>
    <hyperlink ref="D5965" r:id="rId_hyperlink_5364"/>
    <hyperlink ref="D5966" r:id="rId_hyperlink_5365"/>
    <hyperlink ref="D5967" r:id="rId_hyperlink_5366"/>
    <hyperlink ref="D5968" r:id="rId_hyperlink_5367"/>
    <hyperlink ref="D5969" r:id="rId_hyperlink_5368"/>
    <hyperlink ref="D5970" r:id="rId_hyperlink_5369"/>
    <hyperlink ref="D5971" r:id="rId_hyperlink_5370"/>
    <hyperlink ref="D5972" r:id="rId_hyperlink_5371"/>
    <hyperlink ref="D5974" r:id="rId_hyperlink_5372"/>
    <hyperlink ref="D5975" r:id="rId_hyperlink_5373"/>
    <hyperlink ref="D5976" r:id="rId_hyperlink_5374"/>
    <hyperlink ref="D5977" r:id="rId_hyperlink_5375"/>
    <hyperlink ref="D5978" r:id="rId_hyperlink_5376"/>
    <hyperlink ref="D5979" r:id="rId_hyperlink_5377"/>
    <hyperlink ref="D5980" r:id="rId_hyperlink_5378"/>
    <hyperlink ref="D5981" r:id="rId_hyperlink_5379"/>
    <hyperlink ref="D5982" r:id="rId_hyperlink_5380"/>
    <hyperlink ref="D5984" r:id="rId_hyperlink_5381"/>
    <hyperlink ref="D5985" r:id="rId_hyperlink_5382"/>
    <hyperlink ref="D5986" r:id="rId_hyperlink_5383"/>
    <hyperlink ref="D5987" r:id="rId_hyperlink_5384"/>
    <hyperlink ref="D5988" r:id="rId_hyperlink_5385"/>
    <hyperlink ref="D5990" r:id="rId_hyperlink_5386"/>
    <hyperlink ref="D5993" r:id="rId_hyperlink_5387"/>
    <hyperlink ref="D5994" r:id="rId_hyperlink_5388"/>
    <hyperlink ref="D5995" r:id="rId_hyperlink_5389"/>
    <hyperlink ref="D5996" r:id="rId_hyperlink_5390"/>
    <hyperlink ref="D5997" r:id="rId_hyperlink_5391"/>
    <hyperlink ref="D5998" r:id="rId_hyperlink_5392"/>
    <hyperlink ref="D5999" r:id="rId_hyperlink_5393"/>
    <hyperlink ref="D6000" r:id="rId_hyperlink_5394"/>
    <hyperlink ref="D6001" r:id="rId_hyperlink_5395"/>
    <hyperlink ref="D6002" r:id="rId_hyperlink_5396"/>
    <hyperlink ref="D6003" r:id="rId_hyperlink_5397"/>
    <hyperlink ref="D6005" r:id="rId_hyperlink_5398"/>
    <hyperlink ref="D6006" r:id="rId_hyperlink_5399"/>
    <hyperlink ref="D6008" r:id="rId_hyperlink_5400"/>
    <hyperlink ref="D6009" r:id="rId_hyperlink_5401"/>
    <hyperlink ref="D6010" r:id="rId_hyperlink_5402"/>
    <hyperlink ref="D6013" r:id="rId_hyperlink_5403"/>
    <hyperlink ref="D6014" r:id="rId_hyperlink_5404"/>
    <hyperlink ref="D6016" r:id="rId_hyperlink_5405"/>
    <hyperlink ref="D6017" r:id="rId_hyperlink_5406"/>
    <hyperlink ref="D6019" r:id="rId_hyperlink_5407"/>
    <hyperlink ref="D6020" r:id="rId_hyperlink_5408"/>
    <hyperlink ref="D6024" r:id="rId_hyperlink_5409"/>
    <hyperlink ref="D6025" r:id="rId_hyperlink_5410"/>
    <hyperlink ref="D6027" r:id="rId_hyperlink_5411"/>
    <hyperlink ref="D6028" r:id="rId_hyperlink_5412"/>
    <hyperlink ref="D6029" r:id="rId_hyperlink_5413"/>
    <hyperlink ref="D6030" r:id="rId_hyperlink_5414"/>
    <hyperlink ref="D6032" r:id="rId_hyperlink_5415"/>
    <hyperlink ref="D6033" r:id="rId_hyperlink_5416"/>
    <hyperlink ref="D6034" r:id="rId_hyperlink_5417"/>
    <hyperlink ref="D6035" r:id="rId_hyperlink_5418"/>
    <hyperlink ref="D6038" r:id="rId_hyperlink_5419"/>
    <hyperlink ref="D6039" r:id="rId_hyperlink_5420"/>
    <hyperlink ref="D6040" r:id="rId_hyperlink_5421"/>
    <hyperlink ref="D6042" r:id="rId_hyperlink_5422"/>
    <hyperlink ref="D6044" r:id="rId_hyperlink_5423"/>
    <hyperlink ref="D6046" r:id="rId_hyperlink_5424"/>
    <hyperlink ref="D6047" r:id="rId_hyperlink_5425"/>
    <hyperlink ref="D6048" r:id="rId_hyperlink_5426"/>
    <hyperlink ref="D6050" r:id="rId_hyperlink_5427"/>
    <hyperlink ref="D6051" r:id="rId_hyperlink_5428"/>
    <hyperlink ref="D6052" r:id="rId_hyperlink_5429"/>
    <hyperlink ref="D6055" r:id="rId_hyperlink_5430"/>
    <hyperlink ref="D6056" r:id="rId_hyperlink_5431"/>
    <hyperlink ref="D6058" r:id="rId_hyperlink_5432"/>
    <hyperlink ref="D6059" r:id="rId_hyperlink_5433"/>
    <hyperlink ref="D6060" r:id="rId_hyperlink_5434"/>
    <hyperlink ref="D6061" r:id="rId_hyperlink_5435"/>
    <hyperlink ref="D6062" r:id="rId_hyperlink_5436"/>
    <hyperlink ref="D6063" r:id="rId_hyperlink_5437"/>
    <hyperlink ref="D6064" r:id="rId_hyperlink_5438"/>
    <hyperlink ref="D6065" r:id="rId_hyperlink_5439"/>
    <hyperlink ref="D6066" r:id="rId_hyperlink_5440"/>
    <hyperlink ref="D6067" r:id="rId_hyperlink_5441"/>
    <hyperlink ref="D6069" r:id="rId_hyperlink_5442"/>
    <hyperlink ref="D6070" r:id="rId_hyperlink_5443"/>
    <hyperlink ref="D6072" r:id="rId_hyperlink_5444"/>
    <hyperlink ref="D6073" r:id="rId_hyperlink_5445"/>
    <hyperlink ref="D6074" r:id="rId_hyperlink_5446"/>
    <hyperlink ref="D6076" r:id="rId_hyperlink_5447"/>
    <hyperlink ref="D6077" r:id="rId_hyperlink_5448"/>
    <hyperlink ref="D6078" r:id="rId_hyperlink_5449"/>
    <hyperlink ref="D6079" r:id="rId_hyperlink_5450"/>
    <hyperlink ref="D6080" r:id="rId_hyperlink_5451"/>
    <hyperlink ref="D6082" r:id="rId_hyperlink_5452"/>
    <hyperlink ref="D6084" r:id="rId_hyperlink_5453"/>
    <hyperlink ref="D6085" r:id="rId_hyperlink_5454"/>
    <hyperlink ref="D6086" r:id="rId_hyperlink_5455"/>
    <hyperlink ref="D6087" r:id="rId_hyperlink_5456"/>
    <hyperlink ref="D6088" r:id="rId_hyperlink_5457"/>
    <hyperlink ref="D6089" r:id="rId_hyperlink_5458"/>
    <hyperlink ref="D6090" r:id="rId_hyperlink_5459"/>
    <hyperlink ref="D6091" r:id="rId_hyperlink_5460"/>
    <hyperlink ref="D6092" r:id="rId_hyperlink_5461"/>
    <hyperlink ref="D6093" r:id="rId_hyperlink_5462"/>
    <hyperlink ref="D6094" r:id="rId_hyperlink_5463"/>
    <hyperlink ref="D6096" r:id="rId_hyperlink_5464"/>
    <hyperlink ref="D6097" r:id="rId_hyperlink_5465"/>
    <hyperlink ref="D6098" r:id="rId_hyperlink_5466"/>
    <hyperlink ref="D6100" r:id="rId_hyperlink_5467"/>
    <hyperlink ref="D6101" r:id="rId_hyperlink_5468"/>
    <hyperlink ref="D6102" r:id="rId_hyperlink_5469"/>
    <hyperlink ref="D6103" r:id="rId_hyperlink_5470"/>
    <hyperlink ref="D6104" r:id="rId_hyperlink_5471"/>
    <hyperlink ref="D6105" r:id="rId_hyperlink_5472"/>
    <hyperlink ref="D6106" r:id="rId_hyperlink_5473"/>
    <hyperlink ref="D6108" r:id="rId_hyperlink_5474"/>
    <hyperlink ref="D6109" r:id="rId_hyperlink_5475"/>
    <hyperlink ref="D6110" r:id="rId_hyperlink_5476"/>
    <hyperlink ref="D6111" r:id="rId_hyperlink_5477"/>
    <hyperlink ref="D6112" r:id="rId_hyperlink_5478"/>
    <hyperlink ref="D6113" r:id="rId_hyperlink_5479"/>
    <hyperlink ref="D6114" r:id="rId_hyperlink_5480"/>
    <hyperlink ref="D6115" r:id="rId_hyperlink_5481"/>
    <hyperlink ref="D6116" r:id="rId_hyperlink_5482"/>
    <hyperlink ref="D6117" r:id="rId_hyperlink_5483"/>
    <hyperlink ref="D6118" r:id="rId_hyperlink_5484"/>
    <hyperlink ref="D6121" r:id="rId_hyperlink_5485"/>
    <hyperlink ref="D6123" r:id="rId_hyperlink_5486"/>
    <hyperlink ref="D6124" r:id="rId_hyperlink_5487"/>
    <hyperlink ref="D6125" r:id="rId_hyperlink_5488"/>
    <hyperlink ref="D6126" r:id="rId_hyperlink_5489"/>
    <hyperlink ref="D6127" r:id="rId_hyperlink_5490"/>
    <hyperlink ref="D6128" r:id="rId_hyperlink_5491"/>
    <hyperlink ref="D6129" r:id="rId_hyperlink_5492"/>
    <hyperlink ref="D6130" r:id="rId_hyperlink_5493"/>
    <hyperlink ref="D6131" r:id="rId_hyperlink_5494"/>
    <hyperlink ref="D6132" r:id="rId_hyperlink_5495"/>
    <hyperlink ref="D6133" r:id="rId_hyperlink_5496"/>
    <hyperlink ref="D6134" r:id="rId_hyperlink_5497"/>
    <hyperlink ref="D6135" r:id="rId_hyperlink_5498"/>
    <hyperlink ref="D6136" r:id="rId_hyperlink_5499"/>
    <hyperlink ref="D6137" r:id="rId_hyperlink_5500"/>
    <hyperlink ref="D6138" r:id="rId_hyperlink_5501"/>
    <hyperlink ref="D6139" r:id="rId_hyperlink_5502"/>
    <hyperlink ref="D6140" r:id="rId_hyperlink_5503"/>
    <hyperlink ref="D6141" r:id="rId_hyperlink_5504"/>
    <hyperlink ref="D6142" r:id="rId_hyperlink_5505"/>
    <hyperlink ref="D6143" r:id="rId_hyperlink_5506"/>
    <hyperlink ref="D6144" r:id="rId_hyperlink_5507"/>
    <hyperlink ref="D6145" r:id="rId_hyperlink_5508"/>
    <hyperlink ref="D6146" r:id="rId_hyperlink_5509"/>
    <hyperlink ref="D6147" r:id="rId_hyperlink_5510"/>
    <hyperlink ref="D6148" r:id="rId_hyperlink_5511"/>
    <hyperlink ref="D6149" r:id="rId_hyperlink_5512"/>
    <hyperlink ref="D6150" r:id="rId_hyperlink_5513"/>
    <hyperlink ref="D6151" r:id="rId_hyperlink_5514"/>
    <hyperlink ref="D6152" r:id="rId_hyperlink_5515"/>
    <hyperlink ref="D6153" r:id="rId_hyperlink_5516"/>
    <hyperlink ref="D6155" r:id="rId_hyperlink_5517"/>
    <hyperlink ref="D6156" r:id="rId_hyperlink_5518"/>
    <hyperlink ref="D6157" r:id="rId_hyperlink_5519"/>
    <hyperlink ref="D6158" r:id="rId_hyperlink_5520"/>
    <hyperlink ref="D6159" r:id="rId_hyperlink_5521"/>
    <hyperlink ref="D6160" r:id="rId_hyperlink_5522"/>
    <hyperlink ref="D6161" r:id="rId_hyperlink_5523"/>
    <hyperlink ref="D6162" r:id="rId_hyperlink_5524"/>
    <hyperlink ref="D6163" r:id="rId_hyperlink_5525"/>
    <hyperlink ref="D6164" r:id="rId_hyperlink_5526"/>
    <hyperlink ref="D6166" r:id="rId_hyperlink_5527"/>
    <hyperlink ref="D6167" r:id="rId_hyperlink_5528"/>
    <hyperlink ref="D6169" r:id="rId_hyperlink_5529"/>
    <hyperlink ref="D6170" r:id="rId_hyperlink_5530"/>
    <hyperlink ref="D6171" r:id="rId_hyperlink_5531"/>
    <hyperlink ref="D6173" r:id="rId_hyperlink_5532"/>
    <hyperlink ref="D6174" r:id="rId_hyperlink_5533"/>
    <hyperlink ref="D6175" r:id="rId_hyperlink_5534"/>
    <hyperlink ref="D6176" r:id="rId_hyperlink_5535"/>
    <hyperlink ref="D6179" r:id="rId_hyperlink_5536"/>
    <hyperlink ref="D6181" r:id="rId_hyperlink_5537"/>
    <hyperlink ref="D6182" r:id="rId_hyperlink_5538"/>
    <hyperlink ref="D6184" r:id="rId_hyperlink_5539"/>
    <hyperlink ref="D6185" r:id="rId_hyperlink_5540"/>
    <hyperlink ref="D6186" r:id="rId_hyperlink_5541"/>
    <hyperlink ref="D6187" r:id="rId_hyperlink_5542"/>
    <hyperlink ref="D6190" r:id="rId_hyperlink_5543"/>
    <hyperlink ref="D6191" r:id="rId_hyperlink_5544"/>
    <hyperlink ref="D6192" r:id="rId_hyperlink_5545"/>
    <hyperlink ref="D6193" r:id="rId_hyperlink_5546"/>
    <hyperlink ref="D6194" r:id="rId_hyperlink_5547"/>
    <hyperlink ref="D6195" r:id="rId_hyperlink_5548"/>
    <hyperlink ref="D6196" r:id="rId_hyperlink_5549"/>
    <hyperlink ref="D6197" r:id="rId_hyperlink_5550"/>
    <hyperlink ref="D6198" r:id="rId_hyperlink_5551"/>
    <hyperlink ref="D6199" r:id="rId_hyperlink_5552"/>
    <hyperlink ref="D6200" r:id="rId_hyperlink_5553"/>
    <hyperlink ref="D6201" r:id="rId_hyperlink_5554"/>
    <hyperlink ref="D6202" r:id="rId_hyperlink_5555"/>
    <hyperlink ref="D6203" r:id="rId_hyperlink_5556"/>
    <hyperlink ref="D6205" r:id="rId_hyperlink_5557"/>
    <hyperlink ref="D6206" r:id="rId_hyperlink_5558"/>
    <hyperlink ref="D6207" r:id="rId_hyperlink_5559"/>
    <hyperlink ref="D6208" r:id="rId_hyperlink_5560"/>
    <hyperlink ref="D6209" r:id="rId_hyperlink_5561"/>
    <hyperlink ref="D6210" r:id="rId_hyperlink_5562"/>
    <hyperlink ref="D6211" r:id="rId_hyperlink_5563"/>
    <hyperlink ref="D6212" r:id="rId_hyperlink_5564"/>
    <hyperlink ref="D6213" r:id="rId_hyperlink_5565"/>
    <hyperlink ref="D6214" r:id="rId_hyperlink_5566"/>
    <hyperlink ref="D6215" r:id="rId_hyperlink_5567"/>
    <hyperlink ref="D6216" r:id="rId_hyperlink_5568"/>
    <hyperlink ref="D6217" r:id="rId_hyperlink_5569"/>
    <hyperlink ref="D6218" r:id="rId_hyperlink_5570"/>
    <hyperlink ref="D6219" r:id="rId_hyperlink_5571"/>
    <hyperlink ref="D6220" r:id="rId_hyperlink_5572"/>
    <hyperlink ref="D6221" r:id="rId_hyperlink_5573"/>
    <hyperlink ref="D6222" r:id="rId_hyperlink_5574"/>
    <hyperlink ref="D6223" r:id="rId_hyperlink_5575"/>
    <hyperlink ref="D6224" r:id="rId_hyperlink_5576"/>
    <hyperlink ref="D6225" r:id="rId_hyperlink_5577"/>
    <hyperlink ref="D6227" r:id="rId_hyperlink_5578"/>
    <hyperlink ref="D6228" r:id="rId_hyperlink_5579"/>
    <hyperlink ref="D6229" r:id="rId_hyperlink_5580"/>
    <hyperlink ref="D6230" r:id="rId_hyperlink_5581"/>
    <hyperlink ref="D6231" r:id="rId_hyperlink_5582"/>
    <hyperlink ref="D6232" r:id="rId_hyperlink_5583"/>
    <hyperlink ref="D6233" r:id="rId_hyperlink_5584"/>
    <hyperlink ref="D6234" r:id="rId_hyperlink_5585"/>
    <hyperlink ref="D6235" r:id="rId_hyperlink_5586"/>
    <hyperlink ref="D6236" r:id="rId_hyperlink_5587"/>
    <hyperlink ref="D6237" r:id="rId_hyperlink_5588"/>
    <hyperlink ref="D6238" r:id="rId_hyperlink_5589"/>
    <hyperlink ref="D6239" r:id="rId_hyperlink_5590"/>
    <hyperlink ref="D6240" r:id="rId_hyperlink_5591"/>
    <hyperlink ref="D6241" r:id="rId_hyperlink_5592"/>
    <hyperlink ref="D6242" r:id="rId_hyperlink_5593"/>
    <hyperlink ref="D6243" r:id="rId_hyperlink_5594"/>
    <hyperlink ref="D6244" r:id="rId_hyperlink_5595"/>
    <hyperlink ref="D6245" r:id="rId_hyperlink_5596"/>
    <hyperlink ref="D6246" r:id="rId_hyperlink_5597"/>
    <hyperlink ref="D6247" r:id="rId_hyperlink_5598"/>
    <hyperlink ref="D6248" r:id="rId_hyperlink_5599"/>
    <hyperlink ref="D6249" r:id="rId_hyperlink_5600"/>
    <hyperlink ref="D6250" r:id="rId_hyperlink_5601"/>
    <hyperlink ref="D6251" r:id="rId_hyperlink_5602"/>
    <hyperlink ref="D6252" r:id="rId_hyperlink_5603"/>
    <hyperlink ref="D6253" r:id="rId_hyperlink_5604"/>
    <hyperlink ref="D6254" r:id="rId_hyperlink_5605"/>
    <hyperlink ref="D6255" r:id="rId_hyperlink_5606"/>
    <hyperlink ref="D6256" r:id="rId_hyperlink_5607"/>
    <hyperlink ref="D6257" r:id="rId_hyperlink_5608"/>
    <hyperlink ref="D6258" r:id="rId_hyperlink_5609"/>
    <hyperlink ref="D6259" r:id="rId_hyperlink_5610"/>
    <hyperlink ref="D6260" r:id="rId_hyperlink_5611"/>
    <hyperlink ref="D6261" r:id="rId_hyperlink_5612"/>
    <hyperlink ref="D6262" r:id="rId_hyperlink_5613"/>
    <hyperlink ref="D6263" r:id="rId_hyperlink_5614"/>
    <hyperlink ref="D6264" r:id="rId_hyperlink_5615"/>
    <hyperlink ref="D6265" r:id="rId_hyperlink_5616"/>
    <hyperlink ref="D6266" r:id="rId_hyperlink_5617"/>
    <hyperlink ref="D6267" r:id="rId_hyperlink_5618"/>
    <hyperlink ref="D6268" r:id="rId_hyperlink_5619"/>
    <hyperlink ref="D6269" r:id="rId_hyperlink_5620"/>
    <hyperlink ref="D6270" r:id="rId_hyperlink_5621"/>
    <hyperlink ref="D6271" r:id="rId_hyperlink_5622"/>
    <hyperlink ref="D6272" r:id="rId_hyperlink_5623"/>
    <hyperlink ref="D6273" r:id="rId_hyperlink_5624"/>
    <hyperlink ref="D6274" r:id="rId_hyperlink_5625"/>
    <hyperlink ref="D6275" r:id="rId_hyperlink_5626"/>
    <hyperlink ref="D6276" r:id="rId_hyperlink_5627"/>
    <hyperlink ref="D6277" r:id="rId_hyperlink_5628"/>
    <hyperlink ref="D6278" r:id="rId_hyperlink_5629"/>
    <hyperlink ref="D6279" r:id="rId_hyperlink_5630"/>
    <hyperlink ref="D6281" r:id="rId_hyperlink_5631"/>
    <hyperlink ref="D6283" r:id="rId_hyperlink_5632"/>
    <hyperlink ref="D6284" r:id="rId_hyperlink_5633"/>
    <hyperlink ref="D6285" r:id="rId_hyperlink_5634"/>
    <hyperlink ref="D6286" r:id="rId_hyperlink_5635"/>
    <hyperlink ref="D6287" r:id="rId_hyperlink_5636"/>
    <hyperlink ref="D6288" r:id="rId_hyperlink_5637"/>
    <hyperlink ref="D6289" r:id="rId_hyperlink_5638"/>
    <hyperlink ref="D6290" r:id="rId_hyperlink_5639"/>
    <hyperlink ref="D6291" r:id="rId_hyperlink_5640"/>
    <hyperlink ref="D6292" r:id="rId_hyperlink_5641"/>
    <hyperlink ref="D6293" r:id="rId_hyperlink_5642"/>
    <hyperlink ref="D6294" r:id="rId_hyperlink_5643"/>
    <hyperlink ref="D6295" r:id="rId_hyperlink_5644"/>
    <hyperlink ref="D6296" r:id="rId_hyperlink_5645"/>
    <hyperlink ref="D6297" r:id="rId_hyperlink_5646"/>
    <hyperlink ref="D6298" r:id="rId_hyperlink_5647"/>
    <hyperlink ref="D6299" r:id="rId_hyperlink_5648"/>
    <hyperlink ref="D6300" r:id="rId_hyperlink_5649"/>
    <hyperlink ref="D6301" r:id="rId_hyperlink_5650"/>
    <hyperlink ref="D6302" r:id="rId_hyperlink_5651"/>
    <hyperlink ref="D6303" r:id="rId_hyperlink_5652"/>
    <hyperlink ref="D6304" r:id="rId_hyperlink_5653"/>
    <hyperlink ref="D6305" r:id="rId_hyperlink_5654"/>
    <hyperlink ref="D6306" r:id="rId_hyperlink_5655"/>
    <hyperlink ref="D6307" r:id="rId_hyperlink_5656"/>
    <hyperlink ref="D6308" r:id="rId_hyperlink_5657"/>
    <hyperlink ref="D6309" r:id="rId_hyperlink_5658"/>
    <hyperlink ref="D6310" r:id="rId_hyperlink_5659"/>
    <hyperlink ref="D6311" r:id="rId_hyperlink_5660"/>
    <hyperlink ref="D6313" r:id="rId_hyperlink_5661"/>
    <hyperlink ref="D6314" r:id="rId_hyperlink_5662"/>
    <hyperlink ref="D6315" r:id="rId_hyperlink_5663"/>
    <hyperlink ref="D6316" r:id="rId_hyperlink_5664"/>
    <hyperlink ref="D6317" r:id="rId_hyperlink_5665"/>
    <hyperlink ref="D6318" r:id="rId_hyperlink_5666"/>
    <hyperlink ref="D6319" r:id="rId_hyperlink_5667"/>
    <hyperlink ref="D6320" r:id="rId_hyperlink_5668"/>
    <hyperlink ref="D6321" r:id="rId_hyperlink_5669"/>
    <hyperlink ref="D6322" r:id="rId_hyperlink_5670"/>
    <hyperlink ref="D6323" r:id="rId_hyperlink_5671"/>
    <hyperlink ref="D6324" r:id="rId_hyperlink_5672"/>
    <hyperlink ref="D6325" r:id="rId_hyperlink_5673"/>
    <hyperlink ref="D6326" r:id="rId_hyperlink_5674"/>
    <hyperlink ref="D6327" r:id="rId_hyperlink_5675"/>
    <hyperlink ref="D6328" r:id="rId_hyperlink_5676"/>
    <hyperlink ref="D6329" r:id="rId_hyperlink_5677"/>
    <hyperlink ref="D6330" r:id="rId_hyperlink_5678"/>
    <hyperlink ref="D6331" r:id="rId_hyperlink_5679"/>
    <hyperlink ref="D6332" r:id="rId_hyperlink_5680"/>
    <hyperlink ref="D6333" r:id="rId_hyperlink_5681"/>
    <hyperlink ref="D6334" r:id="rId_hyperlink_5682"/>
    <hyperlink ref="D6335" r:id="rId_hyperlink_5683"/>
    <hyperlink ref="D6336" r:id="rId_hyperlink_5684"/>
    <hyperlink ref="D6337" r:id="rId_hyperlink_5685"/>
    <hyperlink ref="D6338" r:id="rId_hyperlink_5686"/>
    <hyperlink ref="D6339" r:id="rId_hyperlink_5687"/>
    <hyperlink ref="D6340" r:id="rId_hyperlink_5688"/>
    <hyperlink ref="D6341" r:id="rId_hyperlink_5689"/>
    <hyperlink ref="D6342" r:id="rId_hyperlink_5690"/>
    <hyperlink ref="D6343" r:id="rId_hyperlink_5691"/>
    <hyperlink ref="D6344" r:id="rId_hyperlink_5692"/>
    <hyperlink ref="D6345" r:id="rId_hyperlink_5693"/>
    <hyperlink ref="D6346" r:id="rId_hyperlink_5694"/>
    <hyperlink ref="D6348" r:id="rId_hyperlink_5695"/>
    <hyperlink ref="D6349" r:id="rId_hyperlink_5696"/>
    <hyperlink ref="D6350" r:id="rId_hyperlink_5697"/>
    <hyperlink ref="D6351" r:id="rId_hyperlink_5698"/>
    <hyperlink ref="D6352" r:id="rId_hyperlink_5699"/>
    <hyperlink ref="D6353" r:id="rId_hyperlink_5700"/>
    <hyperlink ref="D6354" r:id="rId_hyperlink_5701"/>
    <hyperlink ref="D6355" r:id="rId_hyperlink_5702"/>
    <hyperlink ref="D6356" r:id="rId_hyperlink_5703"/>
    <hyperlink ref="D6357" r:id="rId_hyperlink_5704"/>
    <hyperlink ref="D6358" r:id="rId_hyperlink_5705"/>
    <hyperlink ref="D6359" r:id="rId_hyperlink_5706"/>
    <hyperlink ref="D6360" r:id="rId_hyperlink_5707"/>
    <hyperlink ref="D6361" r:id="rId_hyperlink_5708"/>
    <hyperlink ref="D6362" r:id="rId_hyperlink_5709"/>
    <hyperlink ref="D6363" r:id="rId_hyperlink_5710"/>
    <hyperlink ref="D6364" r:id="rId_hyperlink_5711"/>
    <hyperlink ref="D6365" r:id="rId_hyperlink_5712"/>
    <hyperlink ref="D6366" r:id="rId_hyperlink_5713"/>
    <hyperlink ref="D6367" r:id="rId_hyperlink_5714"/>
    <hyperlink ref="D6368" r:id="rId_hyperlink_5715"/>
    <hyperlink ref="D6369" r:id="rId_hyperlink_5716"/>
    <hyperlink ref="D6370" r:id="rId_hyperlink_5717"/>
    <hyperlink ref="D6371" r:id="rId_hyperlink_5718"/>
    <hyperlink ref="D6372" r:id="rId_hyperlink_5719"/>
    <hyperlink ref="D6373" r:id="rId_hyperlink_5720"/>
    <hyperlink ref="D6374" r:id="rId_hyperlink_5721"/>
    <hyperlink ref="D6375" r:id="rId_hyperlink_5722"/>
    <hyperlink ref="D6376" r:id="rId_hyperlink_5723"/>
    <hyperlink ref="D6377" r:id="rId_hyperlink_5724"/>
    <hyperlink ref="D6378" r:id="rId_hyperlink_5725"/>
    <hyperlink ref="D6379" r:id="rId_hyperlink_5726"/>
    <hyperlink ref="D6380" r:id="rId_hyperlink_5727"/>
    <hyperlink ref="D6381" r:id="rId_hyperlink_5728"/>
    <hyperlink ref="D6382" r:id="rId_hyperlink_5729"/>
    <hyperlink ref="D6383" r:id="rId_hyperlink_5730"/>
    <hyperlink ref="D6384" r:id="rId_hyperlink_5731"/>
    <hyperlink ref="D6385" r:id="rId_hyperlink_5732"/>
    <hyperlink ref="D6386" r:id="rId_hyperlink_5733"/>
    <hyperlink ref="D6387" r:id="rId_hyperlink_5734"/>
    <hyperlink ref="D6388" r:id="rId_hyperlink_5735"/>
    <hyperlink ref="D6389" r:id="rId_hyperlink_5736"/>
    <hyperlink ref="D6390" r:id="rId_hyperlink_5737"/>
    <hyperlink ref="D6391" r:id="rId_hyperlink_5738"/>
    <hyperlink ref="D6393" r:id="rId_hyperlink_5739"/>
    <hyperlink ref="D6394" r:id="rId_hyperlink_5740"/>
    <hyperlink ref="D6396" r:id="rId_hyperlink_5741"/>
    <hyperlink ref="D6399" r:id="rId_hyperlink_5742"/>
    <hyperlink ref="D6400" r:id="rId_hyperlink_5743"/>
    <hyperlink ref="D6401" r:id="rId_hyperlink_5744"/>
    <hyperlink ref="D6402" r:id="rId_hyperlink_5745"/>
    <hyperlink ref="D6403" r:id="rId_hyperlink_5746"/>
    <hyperlink ref="D6404" r:id="rId_hyperlink_5747"/>
    <hyperlink ref="D6405" r:id="rId_hyperlink_5748"/>
    <hyperlink ref="D6406" r:id="rId_hyperlink_5749"/>
    <hyperlink ref="D6407" r:id="rId_hyperlink_5750"/>
    <hyperlink ref="D6410" r:id="rId_hyperlink_5751"/>
    <hyperlink ref="D6411" r:id="rId_hyperlink_5752"/>
    <hyperlink ref="D6412" r:id="rId_hyperlink_5753"/>
    <hyperlink ref="D6414" r:id="rId_hyperlink_5754"/>
    <hyperlink ref="D6415" r:id="rId_hyperlink_5755"/>
    <hyperlink ref="D6417" r:id="rId_hyperlink_5756"/>
    <hyperlink ref="D6418" r:id="rId_hyperlink_5757"/>
    <hyperlink ref="D6421" r:id="rId_hyperlink_5758"/>
    <hyperlink ref="D6422" r:id="rId_hyperlink_5759"/>
    <hyperlink ref="D6423" r:id="rId_hyperlink_5760"/>
    <hyperlink ref="D6424" r:id="rId_hyperlink_5761"/>
    <hyperlink ref="D6425" r:id="rId_hyperlink_5762"/>
    <hyperlink ref="D6426" r:id="rId_hyperlink_5763"/>
    <hyperlink ref="D6427" r:id="rId_hyperlink_5764"/>
    <hyperlink ref="D6428" r:id="rId_hyperlink_5765"/>
    <hyperlink ref="D6429" r:id="rId_hyperlink_5766"/>
    <hyperlink ref="D6430" r:id="rId_hyperlink_5767"/>
    <hyperlink ref="D6431" r:id="rId_hyperlink_5768"/>
    <hyperlink ref="D6432" r:id="rId_hyperlink_5769"/>
    <hyperlink ref="D6433" r:id="rId_hyperlink_5770"/>
    <hyperlink ref="D6434" r:id="rId_hyperlink_5771"/>
    <hyperlink ref="D6435" r:id="rId_hyperlink_5772"/>
    <hyperlink ref="D6436" r:id="rId_hyperlink_5773"/>
    <hyperlink ref="D6437" r:id="rId_hyperlink_5774"/>
    <hyperlink ref="D6438" r:id="rId_hyperlink_5775"/>
    <hyperlink ref="D6439" r:id="rId_hyperlink_5776"/>
    <hyperlink ref="D6440" r:id="rId_hyperlink_5777"/>
    <hyperlink ref="D6441" r:id="rId_hyperlink_5778"/>
    <hyperlink ref="D6442" r:id="rId_hyperlink_5779"/>
    <hyperlink ref="D6443" r:id="rId_hyperlink_5780"/>
    <hyperlink ref="D6444" r:id="rId_hyperlink_5781"/>
    <hyperlink ref="D6445" r:id="rId_hyperlink_5782"/>
    <hyperlink ref="D6446" r:id="rId_hyperlink_5783"/>
    <hyperlink ref="D6447" r:id="rId_hyperlink_5784"/>
    <hyperlink ref="D6448" r:id="rId_hyperlink_5785"/>
    <hyperlink ref="D6449" r:id="rId_hyperlink_5786"/>
    <hyperlink ref="D6450" r:id="rId_hyperlink_5787"/>
    <hyperlink ref="D6452" r:id="rId_hyperlink_5788"/>
    <hyperlink ref="D6454" r:id="rId_hyperlink_5789"/>
    <hyperlink ref="D6455" r:id="rId_hyperlink_5790"/>
    <hyperlink ref="D6456" r:id="rId_hyperlink_5791"/>
    <hyperlink ref="D6457" r:id="rId_hyperlink_5792"/>
    <hyperlink ref="D6458" r:id="rId_hyperlink_5793"/>
    <hyperlink ref="D6459" r:id="rId_hyperlink_5794"/>
    <hyperlink ref="D6460" r:id="rId_hyperlink_5795"/>
    <hyperlink ref="D6461" r:id="rId_hyperlink_5796"/>
    <hyperlink ref="D6462" r:id="rId_hyperlink_5797"/>
    <hyperlink ref="D6464" r:id="rId_hyperlink_5798"/>
    <hyperlink ref="D6465" r:id="rId_hyperlink_5799"/>
    <hyperlink ref="D6466" r:id="rId_hyperlink_5800"/>
    <hyperlink ref="D6467" r:id="rId_hyperlink_5801"/>
    <hyperlink ref="D6468" r:id="rId_hyperlink_5802"/>
    <hyperlink ref="D6469" r:id="rId_hyperlink_5803"/>
    <hyperlink ref="D6470" r:id="rId_hyperlink_5804"/>
    <hyperlink ref="D6471" r:id="rId_hyperlink_5805"/>
    <hyperlink ref="D6472" r:id="rId_hyperlink_5806"/>
    <hyperlink ref="D6473" r:id="rId_hyperlink_5807"/>
    <hyperlink ref="D6474" r:id="rId_hyperlink_5808"/>
    <hyperlink ref="D6475" r:id="rId_hyperlink_5809"/>
    <hyperlink ref="D6476" r:id="rId_hyperlink_5810"/>
    <hyperlink ref="D6477" r:id="rId_hyperlink_5811"/>
    <hyperlink ref="D6478" r:id="rId_hyperlink_5812"/>
    <hyperlink ref="D6481" r:id="rId_hyperlink_5813"/>
    <hyperlink ref="D6482" r:id="rId_hyperlink_5814"/>
    <hyperlink ref="D6483" r:id="rId_hyperlink_5815"/>
    <hyperlink ref="D6484" r:id="rId_hyperlink_5816"/>
    <hyperlink ref="D6485" r:id="rId_hyperlink_5817"/>
    <hyperlink ref="D6486" r:id="rId_hyperlink_5818"/>
    <hyperlink ref="D6487" r:id="rId_hyperlink_5819"/>
    <hyperlink ref="D6488" r:id="rId_hyperlink_5820"/>
    <hyperlink ref="D6489" r:id="rId_hyperlink_5821"/>
    <hyperlink ref="D6490" r:id="rId_hyperlink_5822"/>
    <hyperlink ref="D6491" r:id="rId_hyperlink_5823"/>
    <hyperlink ref="D6492" r:id="rId_hyperlink_5824"/>
    <hyperlink ref="D6493" r:id="rId_hyperlink_5825"/>
    <hyperlink ref="D6494" r:id="rId_hyperlink_5826"/>
    <hyperlink ref="D6495" r:id="rId_hyperlink_5827"/>
    <hyperlink ref="D6496" r:id="rId_hyperlink_5828"/>
    <hyperlink ref="D6497" r:id="rId_hyperlink_5829"/>
    <hyperlink ref="D6498" r:id="rId_hyperlink_5830"/>
    <hyperlink ref="D6499" r:id="rId_hyperlink_5831"/>
    <hyperlink ref="D6500" r:id="rId_hyperlink_5832"/>
    <hyperlink ref="D6501" r:id="rId_hyperlink_5833"/>
    <hyperlink ref="D6502" r:id="rId_hyperlink_5834"/>
    <hyperlink ref="D6503" r:id="rId_hyperlink_5835"/>
    <hyperlink ref="D6504" r:id="rId_hyperlink_5836"/>
    <hyperlink ref="D6506" r:id="rId_hyperlink_5837"/>
    <hyperlink ref="D6507" r:id="rId_hyperlink_5838"/>
    <hyperlink ref="D6508" r:id="rId_hyperlink_5839"/>
    <hyperlink ref="D6509" r:id="rId_hyperlink_5840"/>
    <hyperlink ref="D6511" r:id="rId_hyperlink_5841"/>
    <hyperlink ref="D6512" r:id="rId_hyperlink_5842"/>
    <hyperlink ref="D6513" r:id="rId_hyperlink_5843"/>
    <hyperlink ref="D6514" r:id="rId_hyperlink_5844"/>
    <hyperlink ref="D6515" r:id="rId_hyperlink_5845"/>
    <hyperlink ref="D6516" r:id="rId_hyperlink_5846"/>
    <hyperlink ref="D6517" r:id="rId_hyperlink_5847"/>
    <hyperlink ref="D6518" r:id="rId_hyperlink_5848"/>
    <hyperlink ref="D6519" r:id="rId_hyperlink_5849"/>
    <hyperlink ref="D6520" r:id="rId_hyperlink_5850"/>
    <hyperlink ref="D6521" r:id="rId_hyperlink_5851"/>
    <hyperlink ref="D6522" r:id="rId_hyperlink_5852"/>
    <hyperlink ref="D6523" r:id="rId_hyperlink_5853"/>
    <hyperlink ref="D6524" r:id="rId_hyperlink_5854"/>
    <hyperlink ref="D6525" r:id="rId_hyperlink_5855"/>
    <hyperlink ref="D6526" r:id="rId_hyperlink_5856"/>
    <hyperlink ref="D6527" r:id="rId_hyperlink_5857"/>
    <hyperlink ref="D6528" r:id="rId_hyperlink_5858"/>
    <hyperlink ref="D6529" r:id="rId_hyperlink_5859"/>
    <hyperlink ref="D6530" r:id="rId_hyperlink_5860"/>
    <hyperlink ref="D6531" r:id="rId_hyperlink_5861"/>
    <hyperlink ref="D6532" r:id="rId_hyperlink_5862"/>
    <hyperlink ref="D6533" r:id="rId_hyperlink_5863"/>
    <hyperlink ref="D6534" r:id="rId_hyperlink_5864"/>
    <hyperlink ref="D6535" r:id="rId_hyperlink_5865"/>
    <hyperlink ref="D6536" r:id="rId_hyperlink_5866"/>
    <hyperlink ref="D6537" r:id="rId_hyperlink_5867"/>
    <hyperlink ref="D6538" r:id="rId_hyperlink_5868"/>
    <hyperlink ref="D6539" r:id="rId_hyperlink_5869"/>
    <hyperlink ref="D6540" r:id="rId_hyperlink_5870"/>
    <hyperlink ref="D6541" r:id="rId_hyperlink_5871"/>
    <hyperlink ref="D6542" r:id="rId_hyperlink_5872"/>
    <hyperlink ref="D6543" r:id="rId_hyperlink_5873"/>
    <hyperlink ref="D6544" r:id="rId_hyperlink_5874"/>
    <hyperlink ref="D6546" r:id="rId_hyperlink_5875"/>
    <hyperlink ref="D6547" r:id="rId_hyperlink_5876"/>
    <hyperlink ref="D6548" r:id="rId_hyperlink_5877"/>
    <hyperlink ref="D6549" r:id="rId_hyperlink_5878"/>
    <hyperlink ref="D6550" r:id="rId_hyperlink_5879"/>
    <hyperlink ref="D6551" r:id="rId_hyperlink_5880"/>
    <hyperlink ref="D6552" r:id="rId_hyperlink_5881"/>
    <hyperlink ref="D6553" r:id="rId_hyperlink_5882"/>
    <hyperlink ref="D6554" r:id="rId_hyperlink_5883"/>
    <hyperlink ref="D6555" r:id="rId_hyperlink_5884"/>
    <hyperlink ref="D6558" r:id="rId_hyperlink_5885"/>
    <hyperlink ref="D6559" r:id="rId_hyperlink_5886"/>
    <hyperlink ref="D6560" r:id="rId_hyperlink_5887"/>
    <hyperlink ref="D6561" r:id="rId_hyperlink_5888"/>
    <hyperlink ref="D6562" r:id="rId_hyperlink_5889"/>
    <hyperlink ref="D6563" r:id="rId_hyperlink_5890"/>
    <hyperlink ref="D6564" r:id="rId_hyperlink_5891"/>
    <hyperlink ref="D6565" r:id="rId_hyperlink_5892"/>
    <hyperlink ref="D6566" r:id="rId_hyperlink_5893"/>
    <hyperlink ref="D6569" r:id="rId_hyperlink_5894"/>
    <hyperlink ref="D6570" r:id="rId_hyperlink_5895"/>
    <hyperlink ref="D6571" r:id="rId_hyperlink_5896"/>
    <hyperlink ref="D6572" r:id="rId_hyperlink_5897"/>
    <hyperlink ref="D6574" r:id="rId_hyperlink_5898"/>
    <hyperlink ref="D6575" r:id="rId_hyperlink_5899"/>
    <hyperlink ref="D6576" r:id="rId_hyperlink_5900"/>
    <hyperlink ref="D6577" r:id="rId_hyperlink_5901"/>
    <hyperlink ref="D6578" r:id="rId_hyperlink_5902"/>
    <hyperlink ref="D6579" r:id="rId_hyperlink_5903"/>
    <hyperlink ref="D6580" r:id="rId_hyperlink_5904"/>
    <hyperlink ref="D6581" r:id="rId_hyperlink_5905"/>
    <hyperlink ref="D6582" r:id="rId_hyperlink_5906"/>
    <hyperlink ref="D6583" r:id="rId_hyperlink_5907"/>
    <hyperlink ref="D6584" r:id="rId_hyperlink_5908"/>
    <hyperlink ref="D6585" r:id="rId_hyperlink_5909"/>
    <hyperlink ref="D6586" r:id="rId_hyperlink_5910"/>
    <hyperlink ref="D6587" r:id="rId_hyperlink_5911"/>
    <hyperlink ref="D6588" r:id="rId_hyperlink_5912"/>
    <hyperlink ref="D6589" r:id="rId_hyperlink_5913"/>
    <hyperlink ref="D6590" r:id="rId_hyperlink_5914"/>
    <hyperlink ref="D6591" r:id="rId_hyperlink_5915"/>
    <hyperlink ref="D6592" r:id="rId_hyperlink_5916"/>
    <hyperlink ref="D6593" r:id="rId_hyperlink_5917"/>
    <hyperlink ref="D6594" r:id="rId_hyperlink_5918"/>
    <hyperlink ref="D6595" r:id="rId_hyperlink_5919"/>
    <hyperlink ref="D6596" r:id="rId_hyperlink_5920"/>
    <hyperlink ref="D6597" r:id="rId_hyperlink_5921"/>
    <hyperlink ref="D6598" r:id="rId_hyperlink_5922"/>
    <hyperlink ref="D6599" r:id="rId_hyperlink_5923"/>
    <hyperlink ref="D6600" r:id="rId_hyperlink_5924"/>
    <hyperlink ref="D6602" r:id="rId_hyperlink_5925"/>
    <hyperlink ref="D6603" r:id="rId_hyperlink_5926"/>
    <hyperlink ref="D6604" r:id="rId_hyperlink_5927"/>
    <hyperlink ref="D6607" r:id="rId_hyperlink_5928"/>
    <hyperlink ref="D6609" r:id="rId_hyperlink_5929"/>
    <hyperlink ref="D6610" r:id="rId_hyperlink_5930"/>
    <hyperlink ref="D6611" r:id="rId_hyperlink_5931"/>
    <hyperlink ref="D6612" r:id="rId_hyperlink_5932"/>
    <hyperlink ref="D6613" r:id="rId_hyperlink_5933"/>
    <hyperlink ref="D6614" r:id="rId_hyperlink_5934"/>
    <hyperlink ref="D6615" r:id="rId_hyperlink_5935"/>
    <hyperlink ref="D6616" r:id="rId_hyperlink_5936"/>
    <hyperlink ref="D6617" r:id="rId_hyperlink_5937"/>
    <hyperlink ref="D6618" r:id="rId_hyperlink_5938"/>
    <hyperlink ref="D6619" r:id="rId_hyperlink_5939"/>
    <hyperlink ref="D6620" r:id="rId_hyperlink_5940"/>
    <hyperlink ref="D6621" r:id="rId_hyperlink_5941"/>
    <hyperlink ref="D6622" r:id="rId_hyperlink_5942"/>
    <hyperlink ref="D6623" r:id="rId_hyperlink_5943"/>
    <hyperlink ref="D6624" r:id="rId_hyperlink_5944"/>
    <hyperlink ref="D6625" r:id="rId_hyperlink_5945"/>
    <hyperlink ref="D6626" r:id="rId_hyperlink_5946"/>
    <hyperlink ref="D6627" r:id="rId_hyperlink_5947"/>
    <hyperlink ref="D6628" r:id="rId_hyperlink_5948"/>
    <hyperlink ref="D6629" r:id="rId_hyperlink_5949"/>
    <hyperlink ref="D6630" r:id="rId_hyperlink_5950"/>
    <hyperlink ref="D6631" r:id="rId_hyperlink_5951"/>
    <hyperlink ref="D6632" r:id="rId_hyperlink_5952"/>
    <hyperlink ref="D6633" r:id="rId_hyperlink_5953"/>
    <hyperlink ref="D6634" r:id="rId_hyperlink_5954"/>
    <hyperlink ref="D6635" r:id="rId_hyperlink_5955"/>
    <hyperlink ref="D6636" r:id="rId_hyperlink_5956"/>
    <hyperlink ref="D6637" r:id="rId_hyperlink_5957"/>
    <hyperlink ref="D6638" r:id="rId_hyperlink_5958"/>
    <hyperlink ref="D6639" r:id="rId_hyperlink_5959"/>
    <hyperlink ref="D6640" r:id="rId_hyperlink_5960"/>
    <hyperlink ref="D6641" r:id="rId_hyperlink_5961"/>
    <hyperlink ref="D6642" r:id="rId_hyperlink_5962"/>
    <hyperlink ref="D6643" r:id="rId_hyperlink_5963"/>
    <hyperlink ref="D6644" r:id="rId_hyperlink_5964"/>
    <hyperlink ref="D6645" r:id="rId_hyperlink_5965"/>
    <hyperlink ref="D6646" r:id="rId_hyperlink_5966"/>
    <hyperlink ref="D6647" r:id="rId_hyperlink_5967"/>
    <hyperlink ref="D6648" r:id="rId_hyperlink_5968"/>
    <hyperlink ref="D6649" r:id="rId_hyperlink_5969"/>
    <hyperlink ref="D6650" r:id="rId_hyperlink_5970"/>
    <hyperlink ref="D6651" r:id="rId_hyperlink_5971"/>
    <hyperlink ref="D6653" r:id="rId_hyperlink_5972"/>
    <hyperlink ref="D6656" r:id="rId_hyperlink_5973"/>
    <hyperlink ref="D6657" r:id="rId_hyperlink_5974"/>
    <hyperlink ref="D6658" r:id="rId_hyperlink_5975"/>
    <hyperlink ref="D6659" r:id="rId_hyperlink_5976"/>
    <hyperlink ref="D6662" r:id="rId_hyperlink_5977"/>
    <hyperlink ref="D6663" r:id="rId_hyperlink_5978"/>
    <hyperlink ref="D6664" r:id="rId_hyperlink_5979"/>
    <hyperlink ref="D6667" r:id="rId_hyperlink_5980"/>
    <hyperlink ref="D6669" r:id="rId_hyperlink_5981"/>
    <hyperlink ref="D6671" r:id="rId_hyperlink_5982"/>
    <hyperlink ref="D6672" r:id="rId_hyperlink_5983"/>
    <hyperlink ref="D6673" r:id="rId_hyperlink_5984"/>
    <hyperlink ref="D6674" r:id="rId_hyperlink_5985"/>
    <hyperlink ref="D6675" r:id="rId_hyperlink_5986"/>
    <hyperlink ref="D6676" r:id="rId_hyperlink_5987"/>
    <hyperlink ref="D6677" r:id="rId_hyperlink_5988"/>
    <hyperlink ref="D6678" r:id="rId_hyperlink_5989"/>
    <hyperlink ref="D6679" r:id="rId_hyperlink_5990"/>
    <hyperlink ref="D6680" r:id="rId_hyperlink_5991"/>
    <hyperlink ref="D6681" r:id="rId_hyperlink_5992"/>
    <hyperlink ref="D6682" r:id="rId_hyperlink_5993"/>
    <hyperlink ref="D6683" r:id="rId_hyperlink_5994"/>
    <hyperlink ref="D6684" r:id="rId_hyperlink_5995"/>
    <hyperlink ref="D6685" r:id="rId_hyperlink_5996"/>
    <hyperlink ref="D6686" r:id="rId_hyperlink_5997"/>
    <hyperlink ref="D6687" r:id="rId_hyperlink_5998"/>
    <hyperlink ref="D6688" r:id="rId_hyperlink_5999"/>
    <hyperlink ref="D6689" r:id="rId_hyperlink_6000"/>
    <hyperlink ref="D6690" r:id="rId_hyperlink_6001"/>
    <hyperlink ref="D6691" r:id="rId_hyperlink_6002"/>
    <hyperlink ref="D6692" r:id="rId_hyperlink_6003"/>
    <hyperlink ref="D6693" r:id="rId_hyperlink_6004"/>
    <hyperlink ref="D6694" r:id="rId_hyperlink_6005"/>
    <hyperlink ref="D6695" r:id="rId_hyperlink_6006"/>
    <hyperlink ref="D6697" r:id="rId_hyperlink_6007"/>
    <hyperlink ref="D6698" r:id="rId_hyperlink_6008"/>
    <hyperlink ref="D6699" r:id="rId_hyperlink_6009"/>
    <hyperlink ref="D6700" r:id="rId_hyperlink_6010"/>
    <hyperlink ref="D6701" r:id="rId_hyperlink_6011"/>
    <hyperlink ref="D6702" r:id="rId_hyperlink_6012"/>
    <hyperlink ref="D6703" r:id="rId_hyperlink_6013"/>
    <hyperlink ref="D6705" r:id="rId_hyperlink_6014"/>
    <hyperlink ref="D6706" r:id="rId_hyperlink_6015"/>
    <hyperlink ref="D6707" r:id="rId_hyperlink_6016"/>
    <hyperlink ref="D6708" r:id="rId_hyperlink_6017"/>
    <hyperlink ref="D6709" r:id="rId_hyperlink_6018"/>
    <hyperlink ref="D6710" r:id="rId_hyperlink_6019"/>
    <hyperlink ref="D6711" r:id="rId_hyperlink_6020"/>
    <hyperlink ref="D6714" r:id="rId_hyperlink_6021"/>
    <hyperlink ref="D6715" r:id="rId_hyperlink_6022"/>
    <hyperlink ref="D6717" r:id="rId_hyperlink_6023"/>
    <hyperlink ref="D6718" r:id="rId_hyperlink_6024"/>
    <hyperlink ref="D6719" r:id="rId_hyperlink_6025"/>
    <hyperlink ref="D6720" r:id="rId_hyperlink_6026"/>
    <hyperlink ref="D6724" r:id="rId_hyperlink_6027"/>
    <hyperlink ref="D6725" r:id="rId_hyperlink_6028"/>
    <hyperlink ref="D6727" r:id="rId_hyperlink_6029"/>
    <hyperlink ref="D6729" r:id="rId_hyperlink_6030"/>
    <hyperlink ref="D6730" r:id="rId_hyperlink_6031"/>
    <hyperlink ref="D6731" r:id="rId_hyperlink_6032"/>
    <hyperlink ref="D6733" r:id="rId_hyperlink_6033"/>
    <hyperlink ref="D6734" r:id="rId_hyperlink_6034"/>
    <hyperlink ref="D6735" r:id="rId_hyperlink_6035"/>
    <hyperlink ref="D6737" r:id="rId_hyperlink_6036"/>
    <hyperlink ref="D6738" r:id="rId_hyperlink_6037"/>
    <hyperlink ref="D6740" r:id="rId_hyperlink_6038"/>
    <hyperlink ref="D6742" r:id="rId_hyperlink_6039"/>
    <hyperlink ref="D6743" r:id="rId_hyperlink_6040"/>
    <hyperlink ref="D6744" r:id="rId_hyperlink_6041"/>
    <hyperlink ref="D6745" r:id="rId_hyperlink_6042"/>
    <hyperlink ref="D6746" r:id="rId_hyperlink_6043"/>
    <hyperlink ref="D6747" r:id="rId_hyperlink_6044"/>
    <hyperlink ref="D6748" r:id="rId_hyperlink_6045"/>
    <hyperlink ref="D6749" r:id="rId_hyperlink_6046"/>
    <hyperlink ref="D6750" r:id="rId_hyperlink_6047"/>
    <hyperlink ref="D6751" r:id="rId_hyperlink_6048"/>
    <hyperlink ref="D6752" r:id="rId_hyperlink_6049"/>
    <hyperlink ref="D6753" r:id="rId_hyperlink_6050"/>
    <hyperlink ref="D6754" r:id="rId_hyperlink_6051"/>
    <hyperlink ref="D6755" r:id="rId_hyperlink_6052"/>
    <hyperlink ref="D6757" r:id="rId_hyperlink_6053"/>
    <hyperlink ref="D6758" r:id="rId_hyperlink_6054"/>
    <hyperlink ref="D6759" r:id="rId_hyperlink_6055"/>
    <hyperlink ref="D6760" r:id="rId_hyperlink_6056"/>
    <hyperlink ref="D6762" r:id="rId_hyperlink_6057"/>
    <hyperlink ref="D6764" r:id="rId_hyperlink_6058"/>
    <hyperlink ref="D6765" r:id="rId_hyperlink_6059"/>
    <hyperlink ref="D6766" r:id="rId_hyperlink_6060"/>
    <hyperlink ref="D6767" r:id="rId_hyperlink_6061"/>
    <hyperlink ref="D6768" r:id="rId_hyperlink_6062"/>
    <hyperlink ref="D6770" r:id="rId_hyperlink_6063"/>
    <hyperlink ref="D6771" r:id="rId_hyperlink_6064"/>
    <hyperlink ref="D6773" r:id="rId_hyperlink_6065"/>
    <hyperlink ref="D6774" r:id="rId_hyperlink_6066"/>
    <hyperlink ref="D6776" r:id="rId_hyperlink_6067"/>
    <hyperlink ref="D6777" r:id="rId_hyperlink_6068"/>
    <hyperlink ref="D6778" r:id="rId_hyperlink_6069"/>
    <hyperlink ref="D6779" r:id="rId_hyperlink_6070"/>
    <hyperlink ref="D6780" r:id="rId_hyperlink_6071"/>
    <hyperlink ref="D6781" r:id="rId_hyperlink_6072"/>
    <hyperlink ref="D6783" r:id="rId_hyperlink_6073"/>
    <hyperlink ref="D6785" r:id="rId_hyperlink_6074"/>
    <hyperlink ref="D6786" r:id="rId_hyperlink_6075"/>
    <hyperlink ref="D6787" r:id="rId_hyperlink_6076"/>
    <hyperlink ref="D6788" r:id="rId_hyperlink_6077"/>
    <hyperlink ref="D6789" r:id="rId_hyperlink_6078"/>
    <hyperlink ref="D6790" r:id="rId_hyperlink_6079"/>
    <hyperlink ref="D6791" r:id="rId_hyperlink_6080"/>
    <hyperlink ref="D6792" r:id="rId_hyperlink_6081"/>
    <hyperlink ref="D6795" r:id="rId_hyperlink_6082"/>
    <hyperlink ref="D6797" r:id="rId_hyperlink_6083"/>
    <hyperlink ref="D6798" r:id="rId_hyperlink_6084"/>
    <hyperlink ref="D6799" r:id="rId_hyperlink_6085"/>
    <hyperlink ref="D6800" r:id="rId_hyperlink_6086"/>
    <hyperlink ref="D6802" r:id="rId_hyperlink_6087"/>
    <hyperlink ref="D6803" r:id="rId_hyperlink_6088"/>
    <hyperlink ref="D6804" r:id="rId_hyperlink_6089"/>
    <hyperlink ref="D6805" r:id="rId_hyperlink_6090"/>
    <hyperlink ref="D6806" r:id="rId_hyperlink_6091"/>
    <hyperlink ref="D6809" r:id="rId_hyperlink_6092"/>
    <hyperlink ref="D6810" r:id="rId_hyperlink_6093"/>
    <hyperlink ref="D6811" r:id="rId_hyperlink_6094"/>
    <hyperlink ref="D6812" r:id="rId_hyperlink_6095"/>
    <hyperlink ref="D6813" r:id="rId_hyperlink_6096"/>
    <hyperlink ref="D6814" r:id="rId_hyperlink_6097"/>
    <hyperlink ref="D6816" r:id="rId_hyperlink_6098"/>
    <hyperlink ref="D6817" r:id="rId_hyperlink_6099"/>
    <hyperlink ref="D6818" r:id="rId_hyperlink_6100"/>
    <hyperlink ref="D6819" r:id="rId_hyperlink_6101"/>
    <hyperlink ref="D6820" r:id="rId_hyperlink_6102"/>
    <hyperlink ref="D6821" r:id="rId_hyperlink_6103"/>
    <hyperlink ref="D6822" r:id="rId_hyperlink_6104"/>
    <hyperlink ref="D6823" r:id="rId_hyperlink_6105"/>
    <hyperlink ref="D6824" r:id="rId_hyperlink_6106"/>
    <hyperlink ref="D6825" r:id="rId_hyperlink_6107"/>
    <hyperlink ref="D6826" r:id="rId_hyperlink_6108"/>
    <hyperlink ref="D6827" r:id="rId_hyperlink_6109"/>
    <hyperlink ref="D6828" r:id="rId_hyperlink_6110"/>
    <hyperlink ref="D6832" r:id="rId_hyperlink_6111"/>
    <hyperlink ref="D6833" r:id="rId_hyperlink_6112"/>
    <hyperlink ref="D6834" r:id="rId_hyperlink_6113"/>
    <hyperlink ref="D6835" r:id="rId_hyperlink_6114"/>
    <hyperlink ref="D6836" r:id="rId_hyperlink_6115"/>
    <hyperlink ref="D6837" r:id="rId_hyperlink_6116"/>
    <hyperlink ref="D6838" r:id="rId_hyperlink_6117"/>
    <hyperlink ref="D6839" r:id="rId_hyperlink_6118"/>
    <hyperlink ref="D6840" r:id="rId_hyperlink_6119"/>
    <hyperlink ref="D6841" r:id="rId_hyperlink_6120"/>
    <hyperlink ref="D6842" r:id="rId_hyperlink_6121"/>
    <hyperlink ref="D6843" r:id="rId_hyperlink_6122"/>
    <hyperlink ref="D6844" r:id="rId_hyperlink_6123"/>
    <hyperlink ref="D6845" r:id="rId_hyperlink_6124"/>
    <hyperlink ref="D6846" r:id="rId_hyperlink_6125"/>
    <hyperlink ref="D6847" r:id="rId_hyperlink_6126"/>
    <hyperlink ref="D6848" r:id="rId_hyperlink_6127"/>
    <hyperlink ref="D6849" r:id="rId_hyperlink_6128"/>
    <hyperlink ref="D6850" r:id="rId_hyperlink_6129"/>
    <hyperlink ref="D6851" r:id="rId_hyperlink_6130"/>
    <hyperlink ref="D6852" r:id="rId_hyperlink_6131"/>
    <hyperlink ref="D6854" r:id="rId_hyperlink_6132"/>
    <hyperlink ref="D6855" r:id="rId_hyperlink_6133"/>
    <hyperlink ref="D6856" r:id="rId_hyperlink_6134"/>
    <hyperlink ref="D6857" r:id="rId_hyperlink_6135"/>
    <hyperlink ref="D6858" r:id="rId_hyperlink_6136"/>
    <hyperlink ref="D6859" r:id="rId_hyperlink_6137"/>
    <hyperlink ref="D6860" r:id="rId_hyperlink_6138"/>
    <hyperlink ref="D6861" r:id="rId_hyperlink_6139"/>
    <hyperlink ref="D6863" r:id="rId_hyperlink_6140"/>
    <hyperlink ref="D6864" r:id="rId_hyperlink_6141"/>
    <hyperlink ref="D6865" r:id="rId_hyperlink_6142"/>
    <hyperlink ref="D6866" r:id="rId_hyperlink_6143"/>
    <hyperlink ref="D6867" r:id="rId_hyperlink_6144"/>
    <hyperlink ref="D6868" r:id="rId_hyperlink_6145"/>
    <hyperlink ref="D6869" r:id="rId_hyperlink_6146"/>
    <hyperlink ref="D6870" r:id="rId_hyperlink_6147"/>
    <hyperlink ref="D6871" r:id="rId_hyperlink_6148"/>
    <hyperlink ref="D6872" r:id="rId_hyperlink_6149"/>
    <hyperlink ref="D6873" r:id="rId_hyperlink_6150"/>
    <hyperlink ref="D6874" r:id="rId_hyperlink_6151"/>
    <hyperlink ref="D6875" r:id="rId_hyperlink_6152"/>
    <hyperlink ref="D6876" r:id="rId_hyperlink_6153"/>
    <hyperlink ref="D6877" r:id="rId_hyperlink_6154"/>
    <hyperlink ref="D6878" r:id="rId_hyperlink_6155"/>
    <hyperlink ref="D6879" r:id="rId_hyperlink_6156"/>
    <hyperlink ref="D6881" r:id="rId_hyperlink_6157"/>
    <hyperlink ref="D6882" r:id="rId_hyperlink_6158"/>
    <hyperlink ref="D6883" r:id="rId_hyperlink_6159"/>
    <hyperlink ref="D6884" r:id="rId_hyperlink_6160"/>
    <hyperlink ref="D6885" r:id="rId_hyperlink_6161"/>
    <hyperlink ref="D6886" r:id="rId_hyperlink_6162"/>
    <hyperlink ref="D6887" r:id="rId_hyperlink_6163"/>
    <hyperlink ref="D6888" r:id="rId_hyperlink_6164"/>
    <hyperlink ref="D6889" r:id="rId_hyperlink_6165"/>
    <hyperlink ref="D6890" r:id="rId_hyperlink_6166"/>
    <hyperlink ref="D6891" r:id="rId_hyperlink_6167"/>
    <hyperlink ref="D6892" r:id="rId_hyperlink_6168"/>
    <hyperlink ref="D6893" r:id="rId_hyperlink_6169"/>
    <hyperlink ref="D6894" r:id="rId_hyperlink_6170"/>
    <hyperlink ref="D6895" r:id="rId_hyperlink_6171"/>
    <hyperlink ref="D6897" r:id="rId_hyperlink_6172"/>
    <hyperlink ref="D6898" r:id="rId_hyperlink_6173"/>
    <hyperlink ref="D6899" r:id="rId_hyperlink_6174"/>
    <hyperlink ref="D6900" r:id="rId_hyperlink_6175"/>
    <hyperlink ref="D6901" r:id="rId_hyperlink_6176"/>
    <hyperlink ref="D6902" r:id="rId_hyperlink_6177"/>
    <hyperlink ref="D6903" r:id="rId_hyperlink_6178"/>
    <hyperlink ref="D6904" r:id="rId_hyperlink_6179"/>
    <hyperlink ref="D6905" r:id="rId_hyperlink_6180"/>
    <hyperlink ref="D6906" r:id="rId_hyperlink_6181"/>
    <hyperlink ref="D6907" r:id="rId_hyperlink_6182"/>
    <hyperlink ref="D6908" r:id="rId_hyperlink_6183"/>
    <hyperlink ref="D6909" r:id="rId_hyperlink_6184"/>
    <hyperlink ref="D6911" r:id="rId_hyperlink_6185"/>
    <hyperlink ref="D6913" r:id="rId_hyperlink_6186"/>
    <hyperlink ref="D6915" r:id="rId_hyperlink_6187"/>
    <hyperlink ref="D6916" r:id="rId_hyperlink_6188"/>
    <hyperlink ref="D6917" r:id="rId_hyperlink_6189"/>
    <hyperlink ref="D6918" r:id="rId_hyperlink_6190"/>
    <hyperlink ref="D6919" r:id="rId_hyperlink_6191"/>
    <hyperlink ref="D6920" r:id="rId_hyperlink_6192"/>
    <hyperlink ref="D6921" r:id="rId_hyperlink_6193"/>
    <hyperlink ref="D6922" r:id="rId_hyperlink_6194"/>
    <hyperlink ref="D6923" r:id="rId_hyperlink_6195"/>
    <hyperlink ref="D6924" r:id="rId_hyperlink_6196"/>
    <hyperlink ref="D6926" r:id="rId_hyperlink_6197"/>
    <hyperlink ref="D6927" r:id="rId_hyperlink_6198"/>
    <hyperlink ref="D6928" r:id="rId_hyperlink_6199"/>
    <hyperlink ref="D6929" r:id="rId_hyperlink_6200"/>
    <hyperlink ref="D6930" r:id="rId_hyperlink_6201"/>
    <hyperlink ref="D6931" r:id="rId_hyperlink_6202"/>
    <hyperlink ref="D6932" r:id="rId_hyperlink_6203"/>
    <hyperlink ref="D6933" r:id="rId_hyperlink_6204"/>
    <hyperlink ref="D6934" r:id="rId_hyperlink_6205"/>
    <hyperlink ref="D6935" r:id="rId_hyperlink_6206"/>
    <hyperlink ref="D6938" r:id="rId_hyperlink_6207"/>
    <hyperlink ref="D6939" r:id="rId_hyperlink_6208"/>
    <hyperlink ref="D6940" r:id="rId_hyperlink_6209"/>
    <hyperlink ref="D6941" r:id="rId_hyperlink_6210"/>
    <hyperlink ref="D6942" r:id="rId_hyperlink_6211"/>
    <hyperlink ref="D6943" r:id="rId_hyperlink_6212"/>
    <hyperlink ref="D6944" r:id="rId_hyperlink_6213"/>
    <hyperlink ref="D6946" r:id="rId_hyperlink_6214"/>
    <hyperlink ref="D6948" r:id="rId_hyperlink_6215"/>
    <hyperlink ref="D6949" r:id="rId_hyperlink_6216"/>
    <hyperlink ref="D6950" r:id="rId_hyperlink_6217"/>
    <hyperlink ref="D6951" r:id="rId_hyperlink_6218"/>
    <hyperlink ref="D6952" r:id="rId_hyperlink_6219"/>
    <hyperlink ref="D6953" r:id="rId_hyperlink_6220"/>
    <hyperlink ref="D6954" r:id="rId_hyperlink_6221"/>
    <hyperlink ref="D6955" r:id="rId_hyperlink_6222"/>
    <hyperlink ref="D6956" r:id="rId_hyperlink_6223"/>
    <hyperlink ref="D6958" r:id="rId_hyperlink_6224"/>
    <hyperlink ref="D6959" r:id="rId_hyperlink_6225"/>
    <hyperlink ref="D6960" r:id="rId_hyperlink_6226"/>
    <hyperlink ref="D6961" r:id="rId_hyperlink_6227"/>
    <hyperlink ref="D6962" r:id="rId_hyperlink_6228"/>
    <hyperlink ref="D6963" r:id="rId_hyperlink_6229"/>
    <hyperlink ref="D6964" r:id="rId_hyperlink_6230"/>
    <hyperlink ref="D6965" r:id="rId_hyperlink_6231"/>
    <hyperlink ref="D6966" r:id="rId_hyperlink_6232"/>
    <hyperlink ref="D6967" r:id="rId_hyperlink_6233"/>
    <hyperlink ref="D6968" r:id="rId_hyperlink_6234"/>
    <hyperlink ref="D6970" r:id="rId_hyperlink_6235"/>
    <hyperlink ref="D6971" r:id="rId_hyperlink_6236"/>
    <hyperlink ref="D6973" r:id="rId_hyperlink_6237"/>
    <hyperlink ref="D6974" r:id="rId_hyperlink_6238"/>
    <hyperlink ref="D6975" r:id="rId_hyperlink_6239"/>
    <hyperlink ref="D6976" r:id="rId_hyperlink_6240"/>
    <hyperlink ref="D6977" r:id="rId_hyperlink_6241"/>
    <hyperlink ref="D6979" r:id="rId_hyperlink_6242"/>
    <hyperlink ref="D6980" r:id="rId_hyperlink_6243"/>
    <hyperlink ref="D6981" r:id="rId_hyperlink_6244"/>
    <hyperlink ref="D6983" r:id="rId_hyperlink_6245"/>
    <hyperlink ref="D6984" r:id="rId_hyperlink_6246"/>
    <hyperlink ref="D6985" r:id="rId_hyperlink_6247"/>
    <hyperlink ref="D6986" r:id="rId_hyperlink_6248"/>
    <hyperlink ref="D6987" r:id="rId_hyperlink_6249"/>
    <hyperlink ref="D6988" r:id="rId_hyperlink_6250"/>
    <hyperlink ref="D6989" r:id="rId_hyperlink_6251"/>
    <hyperlink ref="D6990" r:id="rId_hyperlink_6252"/>
    <hyperlink ref="D6991" r:id="rId_hyperlink_6253"/>
    <hyperlink ref="D6992" r:id="rId_hyperlink_6254"/>
    <hyperlink ref="D6994" r:id="rId_hyperlink_6255"/>
    <hyperlink ref="D6995" r:id="rId_hyperlink_6256"/>
    <hyperlink ref="D6996" r:id="rId_hyperlink_6257"/>
    <hyperlink ref="D6997" r:id="rId_hyperlink_6258"/>
    <hyperlink ref="D6998" r:id="rId_hyperlink_6259"/>
    <hyperlink ref="D6999" r:id="rId_hyperlink_6260"/>
    <hyperlink ref="D7000" r:id="rId_hyperlink_6261"/>
    <hyperlink ref="D7001" r:id="rId_hyperlink_6262"/>
    <hyperlink ref="D7002" r:id="rId_hyperlink_6263"/>
    <hyperlink ref="D7003" r:id="rId_hyperlink_6264"/>
    <hyperlink ref="D7004" r:id="rId_hyperlink_6265"/>
    <hyperlink ref="D7006" r:id="rId_hyperlink_6266"/>
    <hyperlink ref="D7007" r:id="rId_hyperlink_6267"/>
    <hyperlink ref="D7008" r:id="rId_hyperlink_6268"/>
    <hyperlink ref="D7009" r:id="rId_hyperlink_6269"/>
    <hyperlink ref="D7010" r:id="rId_hyperlink_6270"/>
    <hyperlink ref="D7011" r:id="rId_hyperlink_6271"/>
    <hyperlink ref="D7012" r:id="rId_hyperlink_6272"/>
    <hyperlink ref="D7013" r:id="rId_hyperlink_6273"/>
    <hyperlink ref="D7014" r:id="rId_hyperlink_6274"/>
    <hyperlink ref="D7015" r:id="rId_hyperlink_6275"/>
    <hyperlink ref="D7017" r:id="rId_hyperlink_6276"/>
    <hyperlink ref="D7018" r:id="rId_hyperlink_6277"/>
    <hyperlink ref="D7019" r:id="rId_hyperlink_6278"/>
    <hyperlink ref="D7020" r:id="rId_hyperlink_6279"/>
    <hyperlink ref="D7021" r:id="rId_hyperlink_6280"/>
    <hyperlink ref="D7023" r:id="rId_hyperlink_6281"/>
    <hyperlink ref="D7024" r:id="rId_hyperlink_6282"/>
    <hyperlink ref="D7026" r:id="rId_hyperlink_6283"/>
    <hyperlink ref="D7027" r:id="rId_hyperlink_6284"/>
    <hyperlink ref="D7028" r:id="rId_hyperlink_6285"/>
    <hyperlink ref="D7029" r:id="rId_hyperlink_6286"/>
    <hyperlink ref="D7030" r:id="rId_hyperlink_6287"/>
    <hyperlink ref="D7031" r:id="rId_hyperlink_6288"/>
    <hyperlink ref="D7032" r:id="rId_hyperlink_6289"/>
    <hyperlink ref="D7033" r:id="rId_hyperlink_6290"/>
    <hyperlink ref="D7036" r:id="rId_hyperlink_6291"/>
    <hyperlink ref="D7037" r:id="rId_hyperlink_6292"/>
    <hyperlink ref="D7038" r:id="rId_hyperlink_6293"/>
    <hyperlink ref="D7039" r:id="rId_hyperlink_6294"/>
    <hyperlink ref="D7040" r:id="rId_hyperlink_6295"/>
    <hyperlink ref="D7041" r:id="rId_hyperlink_6296"/>
    <hyperlink ref="D7042" r:id="rId_hyperlink_6297"/>
    <hyperlink ref="D7045" r:id="rId_hyperlink_6298"/>
    <hyperlink ref="D7046" r:id="rId_hyperlink_6299"/>
    <hyperlink ref="D7047" r:id="rId_hyperlink_6300"/>
    <hyperlink ref="D7048" r:id="rId_hyperlink_6301"/>
    <hyperlink ref="D7050" r:id="rId_hyperlink_6302"/>
    <hyperlink ref="D7051" r:id="rId_hyperlink_6303"/>
    <hyperlink ref="D7052" r:id="rId_hyperlink_6304"/>
    <hyperlink ref="D7053" r:id="rId_hyperlink_6305"/>
    <hyperlink ref="D7054" r:id="rId_hyperlink_6306"/>
    <hyperlink ref="D7055" r:id="rId_hyperlink_6307"/>
    <hyperlink ref="D7056" r:id="rId_hyperlink_6308"/>
    <hyperlink ref="D7057" r:id="rId_hyperlink_6309"/>
    <hyperlink ref="D7058" r:id="rId_hyperlink_6310"/>
    <hyperlink ref="D7059" r:id="rId_hyperlink_6311"/>
    <hyperlink ref="D7060" r:id="rId_hyperlink_6312"/>
    <hyperlink ref="D7061" r:id="rId_hyperlink_6313"/>
    <hyperlink ref="D7064" r:id="rId_hyperlink_6314"/>
    <hyperlink ref="D7065" r:id="rId_hyperlink_6315"/>
    <hyperlink ref="D7066" r:id="rId_hyperlink_6316"/>
    <hyperlink ref="D7067" r:id="rId_hyperlink_6317"/>
    <hyperlink ref="D7068" r:id="rId_hyperlink_6318"/>
    <hyperlink ref="D7069" r:id="rId_hyperlink_6319"/>
    <hyperlink ref="D7070" r:id="rId_hyperlink_6320"/>
    <hyperlink ref="D7071" r:id="rId_hyperlink_6321"/>
    <hyperlink ref="D7072" r:id="rId_hyperlink_6322"/>
    <hyperlink ref="D7073" r:id="rId_hyperlink_6323"/>
    <hyperlink ref="D7074" r:id="rId_hyperlink_6324"/>
    <hyperlink ref="D7075" r:id="rId_hyperlink_6325"/>
    <hyperlink ref="D7076" r:id="rId_hyperlink_6326"/>
    <hyperlink ref="D7079" r:id="rId_hyperlink_6327"/>
    <hyperlink ref="D7080" r:id="rId_hyperlink_6328"/>
    <hyperlink ref="D7081" r:id="rId_hyperlink_6329"/>
    <hyperlink ref="D7082" r:id="rId_hyperlink_6330"/>
    <hyperlink ref="D7083" r:id="rId_hyperlink_6331"/>
    <hyperlink ref="D7084" r:id="rId_hyperlink_6332"/>
    <hyperlink ref="D7085" r:id="rId_hyperlink_6333"/>
    <hyperlink ref="D7086" r:id="rId_hyperlink_6334"/>
    <hyperlink ref="D7087" r:id="rId_hyperlink_6335"/>
    <hyperlink ref="D7088" r:id="rId_hyperlink_6336"/>
    <hyperlink ref="D7089" r:id="rId_hyperlink_6337"/>
    <hyperlink ref="D7090" r:id="rId_hyperlink_6338"/>
    <hyperlink ref="D7091" r:id="rId_hyperlink_6339"/>
    <hyperlink ref="D7092" r:id="rId_hyperlink_6340"/>
    <hyperlink ref="D7093" r:id="rId_hyperlink_6341"/>
    <hyperlink ref="D7094" r:id="rId_hyperlink_6342"/>
    <hyperlink ref="D7095" r:id="rId_hyperlink_6343"/>
    <hyperlink ref="D7096" r:id="rId_hyperlink_6344"/>
    <hyperlink ref="D7097" r:id="rId_hyperlink_6345"/>
    <hyperlink ref="D7098" r:id="rId_hyperlink_6346"/>
    <hyperlink ref="D7099" r:id="rId_hyperlink_6347"/>
    <hyperlink ref="D7100" r:id="rId_hyperlink_6348"/>
    <hyperlink ref="D7101" r:id="rId_hyperlink_6349"/>
    <hyperlink ref="D7102" r:id="rId_hyperlink_6350"/>
    <hyperlink ref="D7103" r:id="rId_hyperlink_6351"/>
    <hyperlink ref="D7104" r:id="rId_hyperlink_6352"/>
    <hyperlink ref="D7106" r:id="rId_hyperlink_6353"/>
    <hyperlink ref="D7107" r:id="rId_hyperlink_6354"/>
    <hyperlink ref="D7108" r:id="rId_hyperlink_6355"/>
    <hyperlink ref="D7109" r:id="rId_hyperlink_6356"/>
    <hyperlink ref="D7110" r:id="rId_hyperlink_6357"/>
    <hyperlink ref="D7111" r:id="rId_hyperlink_6358"/>
    <hyperlink ref="D7112" r:id="rId_hyperlink_6359"/>
    <hyperlink ref="D7113" r:id="rId_hyperlink_6360"/>
    <hyperlink ref="D7114" r:id="rId_hyperlink_6361"/>
    <hyperlink ref="D7115" r:id="rId_hyperlink_6362"/>
    <hyperlink ref="D7116" r:id="rId_hyperlink_6363"/>
    <hyperlink ref="D7117" r:id="rId_hyperlink_6364"/>
    <hyperlink ref="D7119" r:id="rId_hyperlink_6365"/>
    <hyperlink ref="D7120" r:id="rId_hyperlink_6366"/>
    <hyperlink ref="D7121" r:id="rId_hyperlink_6367"/>
    <hyperlink ref="D7122" r:id="rId_hyperlink_6368"/>
    <hyperlink ref="D7123" r:id="rId_hyperlink_6369"/>
    <hyperlink ref="D7124" r:id="rId_hyperlink_6370"/>
    <hyperlink ref="D7125" r:id="rId_hyperlink_6371"/>
    <hyperlink ref="D7126" r:id="rId_hyperlink_6372"/>
    <hyperlink ref="D7127" r:id="rId_hyperlink_6373"/>
    <hyperlink ref="D7128" r:id="rId_hyperlink_6374"/>
    <hyperlink ref="D7129" r:id="rId_hyperlink_6375"/>
    <hyperlink ref="D7130" r:id="rId_hyperlink_6376"/>
    <hyperlink ref="D7131" r:id="rId_hyperlink_6377"/>
    <hyperlink ref="D7132" r:id="rId_hyperlink_6378"/>
    <hyperlink ref="D7133" r:id="rId_hyperlink_6379"/>
    <hyperlink ref="D7134" r:id="rId_hyperlink_6380"/>
    <hyperlink ref="D7135" r:id="rId_hyperlink_6381"/>
    <hyperlink ref="D7136" r:id="rId_hyperlink_6382"/>
    <hyperlink ref="D7137" r:id="rId_hyperlink_6383"/>
    <hyperlink ref="D7138" r:id="rId_hyperlink_6384"/>
    <hyperlink ref="D7139" r:id="rId_hyperlink_6385"/>
    <hyperlink ref="D7140" r:id="rId_hyperlink_6386"/>
    <hyperlink ref="D7141" r:id="rId_hyperlink_6387"/>
    <hyperlink ref="D7142" r:id="rId_hyperlink_6388"/>
    <hyperlink ref="D7143" r:id="rId_hyperlink_6389"/>
    <hyperlink ref="D7144" r:id="rId_hyperlink_6390"/>
    <hyperlink ref="D7145" r:id="rId_hyperlink_6391"/>
    <hyperlink ref="D7146" r:id="rId_hyperlink_6392"/>
    <hyperlink ref="D7147" r:id="rId_hyperlink_6393"/>
    <hyperlink ref="D7148" r:id="rId_hyperlink_6394"/>
    <hyperlink ref="D7149" r:id="rId_hyperlink_6395"/>
    <hyperlink ref="D7150" r:id="rId_hyperlink_6396"/>
    <hyperlink ref="D7151" r:id="rId_hyperlink_6397"/>
    <hyperlink ref="D7152" r:id="rId_hyperlink_6398"/>
    <hyperlink ref="D7153" r:id="rId_hyperlink_6399"/>
    <hyperlink ref="D7154" r:id="rId_hyperlink_6400"/>
    <hyperlink ref="D7155" r:id="rId_hyperlink_6401"/>
    <hyperlink ref="D7156" r:id="rId_hyperlink_6402"/>
    <hyperlink ref="D7157" r:id="rId_hyperlink_6403"/>
    <hyperlink ref="D7158" r:id="rId_hyperlink_6404"/>
    <hyperlink ref="D7159" r:id="rId_hyperlink_6405"/>
    <hyperlink ref="D7160" r:id="rId_hyperlink_6406"/>
    <hyperlink ref="D7161" r:id="rId_hyperlink_6407"/>
    <hyperlink ref="D7162" r:id="rId_hyperlink_6408"/>
    <hyperlink ref="D7163" r:id="rId_hyperlink_6409"/>
    <hyperlink ref="D7164" r:id="rId_hyperlink_6410"/>
    <hyperlink ref="D7165" r:id="rId_hyperlink_6411"/>
    <hyperlink ref="D7166" r:id="rId_hyperlink_6412"/>
    <hyperlink ref="D7167" r:id="rId_hyperlink_6413"/>
    <hyperlink ref="D7168" r:id="rId_hyperlink_6414"/>
    <hyperlink ref="D7169" r:id="rId_hyperlink_6415"/>
    <hyperlink ref="D7170" r:id="rId_hyperlink_6416"/>
    <hyperlink ref="D7171" r:id="rId_hyperlink_6417"/>
    <hyperlink ref="D7172" r:id="rId_hyperlink_6418"/>
    <hyperlink ref="D7173" r:id="rId_hyperlink_6419"/>
    <hyperlink ref="D7174" r:id="rId_hyperlink_6420"/>
    <hyperlink ref="D7175" r:id="rId_hyperlink_6421"/>
    <hyperlink ref="D7176" r:id="rId_hyperlink_6422"/>
    <hyperlink ref="D7177" r:id="rId_hyperlink_6423"/>
    <hyperlink ref="D7178" r:id="rId_hyperlink_6424"/>
    <hyperlink ref="D7179" r:id="rId_hyperlink_6425"/>
    <hyperlink ref="D7180" r:id="rId_hyperlink_6426"/>
    <hyperlink ref="D7181" r:id="rId_hyperlink_6427"/>
    <hyperlink ref="D7182" r:id="rId_hyperlink_6428"/>
    <hyperlink ref="D7183" r:id="rId_hyperlink_6429"/>
    <hyperlink ref="D7184" r:id="rId_hyperlink_6430"/>
    <hyperlink ref="D7185" r:id="rId_hyperlink_6431"/>
    <hyperlink ref="D7186" r:id="rId_hyperlink_6432"/>
    <hyperlink ref="D7187" r:id="rId_hyperlink_6433"/>
    <hyperlink ref="D7188" r:id="rId_hyperlink_6434"/>
    <hyperlink ref="D7189" r:id="rId_hyperlink_6435"/>
    <hyperlink ref="D7190" r:id="rId_hyperlink_6436"/>
    <hyperlink ref="D7191" r:id="rId_hyperlink_6437"/>
    <hyperlink ref="D7192" r:id="rId_hyperlink_6438"/>
    <hyperlink ref="D7193" r:id="rId_hyperlink_6439"/>
    <hyperlink ref="D7194" r:id="rId_hyperlink_6440"/>
    <hyperlink ref="D7195" r:id="rId_hyperlink_6441"/>
    <hyperlink ref="D7196" r:id="rId_hyperlink_6442"/>
    <hyperlink ref="D7197" r:id="rId_hyperlink_6443"/>
    <hyperlink ref="D7198" r:id="rId_hyperlink_6444"/>
    <hyperlink ref="D7199" r:id="rId_hyperlink_6445"/>
    <hyperlink ref="D7200" r:id="rId_hyperlink_6446"/>
    <hyperlink ref="D7201" r:id="rId_hyperlink_6447"/>
    <hyperlink ref="D7203" r:id="rId_hyperlink_6448"/>
    <hyperlink ref="D7204" r:id="rId_hyperlink_6449"/>
    <hyperlink ref="D7205" r:id="rId_hyperlink_6450"/>
    <hyperlink ref="D7206" r:id="rId_hyperlink_6451"/>
    <hyperlink ref="D7207" r:id="rId_hyperlink_6452"/>
    <hyperlink ref="D7208" r:id="rId_hyperlink_6453"/>
    <hyperlink ref="D7209" r:id="rId_hyperlink_6454"/>
    <hyperlink ref="D7210" r:id="rId_hyperlink_6455"/>
    <hyperlink ref="D7211" r:id="rId_hyperlink_6456"/>
    <hyperlink ref="D7212" r:id="rId_hyperlink_6457"/>
    <hyperlink ref="D7213" r:id="rId_hyperlink_6458"/>
    <hyperlink ref="D7214" r:id="rId_hyperlink_6459"/>
    <hyperlink ref="D7215" r:id="rId_hyperlink_6460"/>
    <hyperlink ref="D7216" r:id="rId_hyperlink_6461"/>
    <hyperlink ref="D7217" r:id="rId_hyperlink_6462"/>
    <hyperlink ref="D7218" r:id="rId_hyperlink_6463"/>
    <hyperlink ref="D7219" r:id="rId_hyperlink_6464"/>
    <hyperlink ref="D7220" r:id="rId_hyperlink_6465"/>
    <hyperlink ref="D7221" r:id="rId_hyperlink_6466"/>
    <hyperlink ref="D7222" r:id="rId_hyperlink_6467"/>
    <hyperlink ref="D7224" r:id="rId_hyperlink_6468"/>
    <hyperlink ref="D7225" r:id="rId_hyperlink_6469"/>
    <hyperlink ref="D7226" r:id="rId_hyperlink_6470"/>
    <hyperlink ref="D7227" r:id="rId_hyperlink_6471"/>
    <hyperlink ref="D7228" r:id="rId_hyperlink_6472"/>
    <hyperlink ref="D7229" r:id="rId_hyperlink_6473"/>
    <hyperlink ref="D7230" r:id="rId_hyperlink_6474"/>
    <hyperlink ref="D7231" r:id="rId_hyperlink_6475"/>
    <hyperlink ref="D7232" r:id="rId_hyperlink_6476"/>
    <hyperlink ref="D7233" r:id="rId_hyperlink_6477"/>
    <hyperlink ref="D7234" r:id="rId_hyperlink_6478"/>
    <hyperlink ref="D7235" r:id="rId_hyperlink_6479"/>
    <hyperlink ref="D7236" r:id="rId_hyperlink_6480"/>
    <hyperlink ref="D7237" r:id="rId_hyperlink_6481"/>
    <hyperlink ref="D7238" r:id="rId_hyperlink_6482"/>
    <hyperlink ref="D7239" r:id="rId_hyperlink_6483"/>
    <hyperlink ref="D7240" r:id="rId_hyperlink_6484"/>
    <hyperlink ref="D7241" r:id="rId_hyperlink_6485"/>
    <hyperlink ref="D7242" r:id="rId_hyperlink_6486"/>
    <hyperlink ref="D7243" r:id="rId_hyperlink_6487"/>
    <hyperlink ref="D7244" r:id="rId_hyperlink_6488"/>
    <hyperlink ref="D7245" r:id="rId_hyperlink_6489"/>
    <hyperlink ref="D7246" r:id="rId_hyperlink_6490"/>
    <hyperlink ref="D7249" r:id="rId_hyperlink_6491"/>
    <hyperlink ref="D7250" r:id="rId_hyperlink_6492"/>
    <hyperlink ref="D7251" r:id="rId_hyperlink_6493"/>
    <hyperlink ref="D7252" r:id="rId_hyperlink_6494"/>
    <hyperlink ref="D7253" r:id="rId_hyperlink_6495"/>
    <hyperlink ref="D7254" r:id="rId_hyperlink_6496"/>
    <hyperlink ref="D7255" r:id="rId_hyperlink_6497"/>
    <hyperlink ref="D7256" r:id="rId_hyperlink_6498"/>
    <hyperlink ref="D7257" r:id="rId_hyperlink_6499"/>
    <hyperlink ref="D7258" r:id="rId_hyperlink_6500"/>
    <hyperlink ref="D7259" r:id="rId_hyperlink_6501"/>
    <hyperlink ref="D7260" r:id="rId_hyperlink_6502"/>
    <hyperlink ref="D7261" r:id="rId_hyperlink_6503"/>
    <hyperlink ref="D7262" r:id="rId_hyperlink_6504"/>
    <hyperlink ref="D7263" r:id="rId_hyperlink_6505"/>
    <hyperlink ref="D7264" r:id="rId_hyperlink_6506"/>
    <hyperlink ref="D7265" r:id="rId_hyperlink_6507"/>
    <hyperlink ref="D7266" r:id="rId_hyperlink_6508"/>
    <hyperlink ref="D7267" r:id="rId_hyperlink_6509"/>
    <hyperlink ref="D7268" r:id="rId_hyperlink_6510"/>
    <hyperlink ref="D7269" r:id="rId_hyperlink_6511"/>
    <hyperlink ref="D7270" r:id="rId_hyperlink_6512"/>
    <hyperlink ref="D7271" r:id="rId_hyperlink_6513"/>
    <hyperlink ref="D7272" r:id="rId_hyperlink_6514"/>
    <hyperlink ref="D7273" r:id="rId_hyperlink_6515"/>
    <hyperlink ref="D7274" r:id="rId_hyperlink_6516"/>
    <hyperlink ref="D7275" r:id="rId_hyperlink_6517"/>
    <hyperlink ref="D7276" r:id="rId_hyperlink_6518"/>
    <hyperlink ref="D7277" r:id="rId_hyperlink_6519"/>
    <hyperlink ref="D7278" r:id="rId_hyperlink_6520"/>
    <hyperlink ref="D7280" r:id="rId_hyperlink_6521"/>
    <hyperlink ref="D7281" r:id="rId_hyperlink_6522"/>
    <hyperlink ref="D7282" r:id="rId_hyperlink_6523"/>
    <hyperlink ref="D7283" r:id="rId_hyperlink_6524"/>
    <hyperlink ref="D7284" r:id="rId_hyperlink_6525"/>
    <hyperlink ref="D7285" r:id="rId_hyperlink_6526"/>
    <hyperlink ref="D7286" r:id="rId_hyperlink_6527"/>
    <hyperlink ref="D7288" r:id="rId_hyperlink_6528"/>
    <hyperlink ref="D7289" r:id="rId_hyperlink_6529"/>
    <hyperlink ref="D7291" r:id="rId_hyperlink_6530"/>
    <hyperlink ref="D7292" r:id="rId_hyperlink_6531"/>
    <hyperlink ref="D7293" r:id="rId_hyperlink_6532"/>
    <hyperlink ref="D7294" r:id="rId_hyperlink_6533"/>
    <hyperlink ref="D7295" r:id="rId_hyperlink_6534"/>
    <hyperlink ref="D7296" r:id="rId_hyperlink_6535"/>
    <hyperlink ref="D7299" r:id="rId_hyperlink_6536"/>
    <hyperlink ref="D7300" r:id="rId_hyperlink_6537"/>
    <hyperlink ref="D7301" r:id="rId_hyperlink_6538"/>
    <hyperlink ref="D7302" r:id="rId_hyperlink_6539"/>
    <hyperlink ref="D7303" r:id="rId_hyperlink_6540"/>
    <hyperlink ref="D7304" r:id="rId_hyperlink_6541"/>
    <hyperlink ref="D7305" r:id="rId_hyperlink_6542"/>
    <hyperlink ref="D7306" r:id="rId_hyperlink_6543"/>
    <hyperlink ref="D7307" r:id="rId_hyperlink_6544"/>
    <hyperlink ref="D7308" r:id="rId_hyperlink_6545"/>
    <hyperlink ref="D7309" r:id="rId_hyperlink_6546"/>
    <hyperlink ref="D7310" r:id="rId_hyperlink_6547"/>
    <hyperlink ref="D7313" r:id="rId_hyperlink_6548"/>
    <hyperlink ref="D7314" r:id="rId_hyperlink_6549"/>
    <hyperlink ref="D7315" r:id="rId_hyperlink_6550"/>
    <hyperlink ref="D7316" r:id="rId_hyperlink_6551"/>
    <hyperlink ref="D7317" r:id="rId_hyperlink_6552"/>
    <hyperlink ref="D7318" r:id="rId_hyperlink_6553"/>
    <hyperlink ref="D7319" r:id="rId_hyperlink_6554"/>
    <hyperlink ref="D7320" r:id="rId_hyperlink_6555"/>
    <hyperlink ref="D7322" r:id="rId_hyperlink_6556"/>
    <hyperlink ref="D7323" r:id="rId_hyperlink_6557"/>
    <hyperlink ref="D7324" r:id="rId_hyperlink_6558"/>
    <hyperlink ref="D7325" r:id="rId_hyperlink_6559"/>
    <hyperlink ref="D7327" r:id="rId_hyperlink_6560"/>
    <hyperlink ref="D7328" r:id="rId_hyperlink_6561"/>
    <hyperlink ref="D7329" r:id="rId_hyperlink_6562"/>
    <hyperlink ref="D7330" r:id="rId_hyperlink_6563"/>
    <hyperlink ref="D7331" r:id="rId_hyperlink_6564"/>
    <hyperlink ref="D7332" r:id="rId_hyperlink_6565"/>
    <hyperlink ref="D7334" r:id="rId_hyperlink_6566"/>
    <hyperlink ref="D7335" r:id="rId_hyperlink_6567"/>
    <hyperlink ref="D7336" r:id="rId_hyperlink_6568"/>
    <hyperlink ref="D7337" r:id="rId_hyperlink_6569"/>
    <hyperlink ref="D7338" r:id="rId_hyperlink_6570"/>
    <hyperlink ref="D7339" r:id="rId_hyperlink_6571"/>
    <hyperlink ref="D7340" r:id="rId_hyperlink_6572"/>
    <hyperlink ref="D7341" r:id="rId_hyperlink_6573"/>
    <hyperlink ref="D7342" r:id="rId_hyperlink_6574"/>
    <hyperlink ref="D7343" r:id="rId_hyperlink_6575"/>
    <hyperlink ref="D7344" r:id="rId_hyperlink_6576"/>
    <hyperlink ref="D7345" r:id="rId_hyperlink_6577"/>
    <hyperlink ref="D7346" r:id="rId_hyperlink_6578"/>
    <hyperlink ref="D7347" r:id="rId_hyperlink_6579"/>
    <hyperlink ref="D7348" r:id="rId_hyperlink_6580"/>
    <hyperlink ref="D7349" r:id="rId_hyperlink_6581"/>
    <hyperlink ref="D7350" r:id="rId_hyperlink_6582"/>
    <hyperlink ref="D7351" r:id="rId_hyperlink_6583"/>
    <hyperlink ref="D7352" r:id="rId_hyperlink_6584"/>
    <hyperlink ref="D7353" r:id="rId_hyperlink_6585"/>
    <hyperlink ref="D7354" r:id="rId_hyperlink_6586"/>
    <hyperlink ref="D7355" r:id="rId_hyperlink_6587"/>
    <hyperlink ref="D7356" r:id="rId_hyperlink_6588"/>
    <hyperlink ref="D7357" r:id="rId_hyperlink_6589"/>
    <hyperlink ref="D7358" r:id="rId_hyperlink_6590"/>
    <hyperlink ref="D7359" r:id="rId_hyperlink_6591"/>
    <hyperlink ref="D7360" r:id="rId_hyperlink_6592"/>
    <hyperlink ref="D7361" r:id="rId_hyperlink_6593"/>
    <hyperlink ref="D7362" r:id="rId_hyperlink_6594"/>
    <hyperlink ref="D7363" r:id="rId_hyperlink_6595"/>
    <hyperlink ref="D7364" r:id="rId_hyperlink_6596"/>
    <hyperlink ref="D7365" r:id="rId_hyperlink_6597"/>
    <hyperlink ref="D7366" r:id="rId_hyperlink_6598"/>
    <hyperlink ref="D7367" r:id="rId_hyperlink_6599"/>
    <hyperlink ref="D7368" r:id="rId_hyperlink_6600"/>
    <hyperlink ref="D7369" r:id="rId_hyperlink_6601"/>
    <hyperlink ref="D7370" r:id="rId_hyperlink_6602"/>
    <hyperlink ref="D7372" r:id="rId_hyperlink_6603"/>
    <hyperlink ref="D7373" r:id="rId_hyperlink_6604"/>
    <hyperlink ref="D7374" r:id="rId_hyperlink_6605"/>
    <hyperlink ref="D7375" r:id="rId_hyperlink_6606"/>
    <hyperlink ref="D7376" r:id="rId_hyperlink_6607"/>
    <hyperlink ref="D7377" r:id="rId_hyperlink_6608"/>
    <hyperlink ref="D7378" r:id="rId_hyperlink_6609"/>
    <hyperlink ref="D7379" r:id="rId_hyperlink_6610"/>
    <hyperlink ref="D7381" r:id="rId_hyperlink_6611"/>
    <hyperlink ref="D7382" r:id="rId_hyperlink_6612"/>
    <hyperlink ref="D7383" r:id="rId_hyperlink_6613"/>
    <hyperlink ref="D7384" r:id="rId_hyperlink_6614"/>
    <hyperlink ref="D7385" r:id="rId_hyperlink_6615"/>
    <hyperlink ref="D7388" r:id="rId_hyperlink_6616"/>
    <hyperlink ref="D7391" r:id="rId_hyperlink_6617"/>
    <hyperlink ref="D7393" r:id="rId_hyperlink_6618"/>
    <hyperlink ref="D7395" r:id="rId_hyperlink_6619"/>
    <hyperlink ref="D7396" r:id="rId_hyperlink_6620"/>
    <hyperlink ref="D7397" r:id="rId_hyperlink_6621"/>
    <hyperlink ref="D7398" r:id="rId_hyperlink_6622"/>
    <hyperlink ref="D7399" r:id="rId_hyperlink_6623"/>
    <hyperlink ref="D7400" r:id="rId_hyperlink_6624"/>
    <hyperlink ref="D7402" r:id="rId_hyperlink_6625"/>
    <hyperlink ref="D7403" r:id="rId_hyperlink_6626"/>
    <hyperlink ref="D7405" r:id="rId_hyperlink_6627"/>
    <hyperlink ref="D7406" r:id="rId_hyperlink_6628"/>
    <hyperlink ref="D7408" r:id="rId_hyperlink_6629"/>
    <hyperlink ref="D7409" r:id="rId_hyperlink_6630"/>
    <hyperlink ref="D7410" r:id="rId_hyperlink_6631"/>
    <hyperlink ref="D7412" r:id="rId_hyperlink_6632"/>
    <hyperlink ref="D7413" r:id="rId_hyperlink_6633"/>
    <hyperlink ref="D7415" r:id="rId_hyperlink_6634"/>
    <hyperlink ref="D7416" r:id="rId_hyperlink_6635"/>
    <hyperlink ref="D7417" r:id="rId_hyperlink_6636"/>
    <hyperlink ref="D7418" r:id="rId_hyperlink_6637"/>
    <hyperlink ref="D7421" r:id="rId_hyperlink_6638"/>
    <hyperlink ref="D7422" r:id="rId_hyperlink_6639"/>
    <hyperlink ref="D7424" r:id="rId_hyperlink_6640"/>
    <hyperlink ref="D7425" r:id="rId_hyperlink_6641"/>
    <hyperlink ref="D7426" r:id="rId_hyperlink_6642"/>
    <hyperlink ref="D7427" r:id="rId_hyperlink_6643"/>
    <hyperlink ref="D7428" r:id="rId_hyperlink_6644"/>
    <hyperlink ref="D7429" r:id="rId_hyperlink_6645"/>
    <hyperlink ref="D7430" r:id="rId_hyperlink_6646"/>
    <hyperlink ref="D7431" r:id="rId_hyperlink_6647"/>
    <hyperlink ref="D7432" r:id="rId_hyperlink_6648"/>
    <hyperlink ref="D7433" r:id="rId_hyperlink_6649"/>
    <hyperlink ref="D7434" r:id="rId_hyperlink_6650"/>
    <hyperlink ref="D7435" r:id="rId_hyperlink_6651"/>
    <hyperlink ref="D7436" r:id="rId_hyperlink_6652"/>
    <hyperlink ref="D7437" r:id="rId_hyperlink_6653"/>
    <hyperlink ref="D7439" r:id="rId_hyperlink_6654"/>
    <hyperlink ref="D7440" r:id="rId_hyperlink_6655"/>
    <hyperlink ref="D7441" r:id="rId_hyperlink_6656"/>
    <hyperlink ref="D7442" r:id="rId_hyperlink_6657"/>
    <hyperlink ref="D7443" r:id="rId_hyperlink_6658"/>
    <hyperlink ref="D7444" r:id="rId_hyperlink_6659"/>
    <hyperlink ref="D7445" r:id="rId_hyperlink_6660"/>
    <hyperlink ref="D7447" r:id="rId_hyperlink_6661"/>
    <hyperlink ref="D7448" r:id="rId_hyperlink_6662"/>
    <hyperlink ref="D7450" r:id="rId_hyperlink_6663"/>
    <hyperlink ref="D7453" r:id="rId_hyperlink_6664"/>
    <hyperlink ref="D7454" r:id="rId_hyperlink_6665"/>
    <hyperlink ref="D7455" r:id="rId_hyperlink_6666"/>
    <hyperlink ref="D7456" r:id="rId_hyperlink_6667"/>
    <hyperlink ref="D7457" r:id="rId_hyperlink_6668"/>
    <hyperlink ref="D7458" r:id="rId_hyperlink_6669"/>
    <hyperlink ref="D7459" r:id="rId_hyperlink_6670"/>
    <hyperlink ref="D7460" r:id="rId_hyperlink_6671"/>
    <hyperlink ref="D7462" r:id="rId_hyperlink_6672"/>
    <hyperlink ref="D7463" r:id="rId_hyperlink_6673"/>
    <hyperlink ref="D7464" r:id="rId_hyperlink_6674"/>
    <hyperlink ref="D7465" r:id="rId_hyperlink_6675"/>
    <hyperlink ref="D7466" r:id="rId_hyperlink_6676"/>
    <hyperlink ref="D7468" r:id="rId_hyperlink_6677"/>
    <hyperlink ref="D7470" r:id="rId_hyperlink_6678"/>
    <hyperlink ref="D7472" r:id="rId_hyperlink_6679"/>
    <hyperlink ref="D7474" r:id="rId_hyperlink_6680"/>
    <hyperlink ref="D7475" r:id="rId_hyperlink_6681"/>
    <hyperlink ref="D7476" r:id="rId_hyperlink_6682"/>
    <hyperlink ref="D7479" r:id="rId_hyperlink_6683"/>
    <hyperlink ref="D7480" r:id="rId_hyperlink_6684"/>
    <hyperlink ref="D7481" r:id="rId_hyperlink_6685"/>
    <hyperlink ref="D7483" r:id="rId_hyperlink_6686"/>
    <hyperlink ref="D7484" r:id="rId_hyperlink_6687"/>
    <hyperlink ref="D7485" r:id="rId_hyperlink_6688"/>
    <hyperlink ref="D7486" r:id="rId_hyperlink_6689"/>
    <hyperlink ref="D7487" r:id="rId_hyperlink_6690"/>
    <hyperlink ref="D7488" r:id="rId_hyperlink_6691"/>
    <hyperlink ref="D7490" r:id="rId_hyperlink_6692"/>
    <hyperlink ref="D7492" r:id="rId_hyperlink_6693"/>
    <hyperlink ref="D7493" r:id="rId_hyperlink_6694"/>
    <hyperlink ref="D7494" r:id="rId_hyperlink_6695"/>
    <hyperlink ref="D7495" r:id="rId_hyperlink_6696"/>
    <hyperlink ref="D7496" r:id="rId_hyperlink_6697"/>
    <hyperlink ref="D7497" r:id="rId_hyperlink_6698"/>
    <hyperlink ref="D7499" r:id="rId_hyperlink_6699"/>
    <hyperlink ref="D7500" r:id="rId_hyperlink_6700"/>
    <hyperlink ref="D7501" r:id="rId_hyperlink_6701"/>
    <hyperlink ref="D7503" r:id="rId_hyperlink_6702"/>
    <hyperlink ref="D7504" r:id="rId_hyperlink_6703"/>
    <hyperlink ref="D7505" r:id="rId_hyperlink_6704"/>
    <hyperlink ref="D7507" r:id="rId_hyperlink_6705"/>
    <hyperlink ref="D7508" r:id="rId_hyperlink_6706"/>
    <hyperlink ref="D7509" r:id="rId_hyperlink_6707"/>
    <hyperlink ref="D7512" r:id="rId_hyperlink_6708"/>
    <hyperlink ref="D7513" r:id="rId_hyperlink_6709"/>
    <hyperlink ref="D7514" r:id="rId_hyperlink_6710"/>
    <hyperlink ref="D7515" r:id="rId_hyperlink_6711"/>
    <hyperlink ref="D7516" r:id="rId_hyperlink_6712"/>
    <hyperlink ref="D7517" r:id="rId_hyperlink_6713"/>
    <hyperlink ref="D7518" r:id="rId_hyperlink_6714"/>
    <hyperlink ref="D7519" r:id="rId_hyperlink_6715"/>
    <hyperlink ref="D7520" r:id="rId_hyperlink_6716"/>
    <hyperlink ref="D7521" r:id="rId_hyperlink_6717"/>
    <hyperlink ref="D7522" r:id="rId_hyperlink_6718"/>
    <hyperlink ref="D7523" r:id="rId_hyperlink_6719"/>
    <hyperlink ref="D7524" r:id="rId_hyperlink_6720"/>
    <hyperlink ref="D7525" r:id="rId_hyperlink_6721"/>
    <hyperlink ref="D7526" r:id="rId_hyperlink_6722"/>
    <hyperlink ref="D7527" r:id="rId_hyperlink_6723"/>
    <hyperlink ref="D7528" r:id="rId_hyperlink_6724"/>
    <hyperlink ref="D7529" r:id="rId_hyperlink_6725"/>
    <hyperlink ref="D7530" r:id="rId_hyperlink_6726"/>
    <hyperlink ref="D7531" r:id="rId_hyperlink_6727"/>
    <hyperlink ref="D7532" r:id="rId_hyperlink_6728"/>
    <hyperlink ref="D7533" r:id="rId_hyperlink_6729"/>
    <hyperlink ref="D7534" r:id="rId_hyperlink_6730"/>
    <hyperlink ref="D7535" r:id="rId_hyperlink_6731"/>
    <hyperlink ref="D7536" r:id="rId_hyperlink_6732"/>
    <hyperlink ref="D7537" r:id="rId_hyperlink_6733"/>
    <hyperlink ref="D7538" r:id="rId_hyperlink_6734"/>
    <hyperlink ref="D7539" r:id="rId_hyperlink_6735"/>
    <hyperlink ref="D7540" r:id="rId_hyperlink_6736"/>
    <hyperlink ref="D7541" r:id="rId_hyperlink_6737"/>
    <hyperlink ref="D7542" r:id="rId_hyperlink_6738"/>
    <hyperlink ref="D7543" r:id="rId_hyperlink_6739"/>
    <hyperlink ref="D7545" r:id="rId_hyperlink_6740"/>
    <hyperlink ref="D7546" r:id="rId_hyperlink_6741"/>
    <hyperlink ref="D7547" r:id="rId_hyperlink_6742"/>
    <hyperlink ref="D7548" r:id="rId_hyperlink_6743"/>
    <hyperlink ref="D7549" r:id="rId_hyperlink_6744"/>
    <hyperlink ref="D7550" r:id="rId_hyperlink_6745"/>
    <hyperlink ref="D7551" r:id="rId_hyperlink_6746"/>
    <hyperlink ref="D7552" r:id="rId_hyperlink_6747"/>
    <hyperlink ref="D7553" r:id="rId_hyperlink_6748"/>
    <hyperlink ref="D7554" r:id="rId_hyperlink_6749"/>
    <hyperlink ref="D7555" r:id="rId_hyperlink_6750"/>
    <hyperlink ref="D7556" r:id="rId_hyperlink_6751"/>
    <hyperlink ref="D7557" r:id="rId_hyperlink_6752"/>
    <hyperlink ref="D7558" r:id="rId_hyperlink_6753"/>
    <hyperlink ref="D7559" r:id="rId_hyperlink_6754"/>
    <hyperlink ref="D7561" r:id="rId_hyperlink_6755"/>
    <hyperlink ref="D7562" r:id="rId_hyperlink_6756"/>
    <hyperlink ref="D7564" r:id="rId_hyperlink_6757"/>
    <hyperlink ref="D7566" r:id="rId_hyperlink_6758"/>
    <hyperlink ref="D7568" r:id="rId_hyperlink_6759"/>
    <hyperlink ref="D7570" r:id="rId_hyperlink_6760"/>
    <hyperlink ref="D7573" r:id="rId_hyperlink_6761"/>
    <hyperlink ref="D7574" r:id="rId_hyperlink_6762"/>
    <hyperlink ref="D7576" r:id="rId_hyperlink_6763"/>
    <hyperlink ref="D7577" r:id="rId_hyperlink_6764"/>
    <hyperlink ref="D7579" r:id="rId_hyperlink_6765"/>
    <hyperlink ref="D7580" r:id="rId_hyperlink_6766"/>
    <hyperlink ref="D7581" r:id="rId_hyperlink_6767"/>
    <hyperlink ref="D7582" r:id="rId_hyperlink_6768"/>
    <hyperlink ref="D7583" r:id="rId_hyperlink_6769"/>
    <hyperlink ref="D7584" r:id="rId_hyperlink_6770"/>
    <hyperlink ref="D7585" r:id="rId_hyperlink_6771"/>
    <hyperlink ref="D7586" r:id="rId_hyperlink_6772"/>
    <hyperlink ref="D7588" r:id="rId_hyperlink_6773"/>
    <hyperlink ref="D7589" r:id="rId_hyperlink_6774"/>
    <hyperlink ref="D7590" r:id="rId_hyperlink_6775"/>
    <hyperlink ref="D7593" r:id="rId_hyperlink_6776"/>
    <hyperlink ref="D7594" r:id="rId_hyperlink_6777"/>
    <hyperlink ref="D7595" r:id="rId_hyperlink_6778"/>
    <hyperlink ref="D7596" r:id="rId_hyperlink_6779"/>
    <hyperlink ref="D7597" r:id="rId_hyperlink_6780"/>
    <hyperlink ref="D7599" r:id="rId_hyperlink_6781"/>
    <hyperlink ref="D7600" r:id="rId_hyperlink_6782"/>
    <hyperlink ref="D7601" r:id="rId_hyperlink_6783"/>
    <hyperlink ref="D7602" r:id="rId_hyperlink_6784"/>
    <hyperlink ref="D7603" r:id="rId_hyperlink_6785"/>
    <hyperlink ref="D7604" r:id="rId_hyperlink_6786"/>
    <hyperlink ref="D7605" r:id="rId_hyperlink_6787"/>
    <hyperlink ref="D7608" r:id="rId_hyperlink_6788"/>
    <hyperlink ref="D7609" r:id="rId_hyperlink_6789"/>
    <hyperlink ref="D7611" r:id="rId_hyperlink_6790"/>
    <hyperlink ref="D7612" r:id="rId_hyperlink_6791"/>
    <hyperlink ref="D7613" r:id="rId_hyperlink_6792"/>
    <hyperlink ref="D7614" r:id="rId_hyperlink_6793"/>
    <hyperlink ref="D7615" r:id="rId_hyperlink_6794"/>
    <hyperlink ref="D7616" r:id="rId_hyperlink_6795"/>
    <hyperlink ref="D7617" r:id="rId_hyperlink_6796"/>
    <hyperlink ref="D7618" r:id="rId_hyperlink_6797"/>
    <hyperlink ref="D7619" r:id="rId_hyperlink_6798"/>
    <hyperlink ref="D7622" r:id="rId_hyperlink_6799"/>
    <hyperlink ref="D7623" r:id="rId_hyperlink_6800"/>
    <hyperlink ref="D7625" r:id="rId_hyperlink_6801"/>
    <hyperlink ref="D7626" r:id="rId_hyperlink_6802"/>
    <hyperlink ref="D7627" r:id="rId_hyperlink_6803"/>
    <hyperlink ref="D7628" r:id="rId_hyperlink_6804"/>
    <hyperlink ref="D7629" r:id="rId_hyperlink_6805"/>
    <hyperlink ref="D7630" r:id="rId_hyperlink_6806"/>
    <hyperlink ref="D7631" r:id="rId_hyperlink_6807"/>
    <hyperlink ref="D7632" r:id="rId_hyperlink_6808"/>
    <hyperlink ref="D7633" r:id="rId_hyperlink_6809"/>
    <hyperlink ref="D7634" r:id="rId_hyperlink_6810"/>
    <hyperlink ref="D7635" r:id="rId_hyperlink_6811"/>
    <hyperlink ref="D7636" r:id="rId_hyperlink_6812"/>
    <hyperlink ref="D7637" r:id="rId_hyperlink_6813"/>
    <hyperlink ref="D7638" r:id="rId_hyperlink_6814"/>
    <hyperlink ref="D7639" r:id="rId_hyperlink_6815"/>
    <hyperlink ref="D7641" r:id="rId_hyperlink_6816"/>
    <hyperlink ref="D7642" r:id="rId_hyperlink_6817"/>
    <hyperlink ref="D7643" r:id="rId_hyperlink_6818"/>
  </hyperlinks>
  <printOptions gridLines="false" gridLinesSet="true"/>
  <pageMargins left="2" right="0.75" top="1" bottom="1" header="0.3" footer="0.3"/>
  <pageSetup paperSize="9" orientation="portrait" scale="100" fitToHeight="1" fitToWidth="1"/>
  <headerFooter differentOddEven="false" differentFirst="false" scaleWithDoc="true" alignWithMargins="true">
    <oddHeader>&amp;optovikufa: прайс-лист</oddHeader>
    <oddFooter>&amp;L&amp;BПрайс-лист&amp;RСтраница &amp;P из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2024-05-14T17:50:59+05:00</dcterms:created>
  <dcterms:modified xsi:type="dcterms:W3CDTF">2024-05-14T17:50:59+05:00</dcterms:modified>
  <dc:title>Untitled Spreadsheet</dc:title>
  <dc:description/>
  <dc:subject/>
  <cp:keywords/>
  <cp:category/>
</cp:coreProperties>
</file>